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 Stats Review; Resource Directory\Ag Stats Review 2021 (2020 Data)\Formatted Excel\Fruit and Nuts 2020\"/>
    </mc:Choice>
  </mc:AlternateContent>
  <xr:revisionPtr revIDLastSave="0" documentId="13_ncr:1_{0BBB6E5F-5331-4210-9B46-EC7055E664FA}" xr6:coauthVersionLast="46" xr6:coauthVersionMax="46" xr10:uidLastSave="{00000000-0000-0000-0000-000000000000}"/>
  <bookViews>
    <workbookView xWindow="28680" yWindow="-120" windowWidth="29040" windowHeight="15840" tabRatio="659" activeTab="8" xr2:uid="{00000000-000D-0000-FFFF-FFFF00000000}"/>
  </bookViews>
  <sheets>
    <sheet name="5-fn-tb-01" sheetId="1" r:id="rId1"/>
    <sheet name="5-fn-tb-02" sheetId="2" r:id="rId2"/>
    <sheet name="5-fn-tb-03" sheetId="4" r:id="rId3"/>
    <sheet name="5-fn-tb-04" sheetId="5" r:id="rId4"/>
    <sheet name="5-fn-tb-05" sheetId="6" r:id="rId5"/>
    <sheet name="5-fn-tb-06" sheetId="8" r:id="rId6"/>
    <sheet name="5-fn-tb-07" sheetId="13" r:id="rId7"/>
    <sheet name="5-fn-tb-8" sheetId="9" r:id="rId8"/>
    <sheet name="5-fn-tb-9" sheetId="10" r:id="rId9"/>
  </sheets>
  <definedNames>
    <definedName name="_xlnm.Print_Area" localSheetId="0">'5-fn-tb-01'!$A$1:$H$84</definedName>
    <definedName name="_xlnm.Print_Area" localSheetId="1">'5-fn-tb-02'!$A$1:$K$17</definedName>
    <definedName name="_xlnm.Print_Area" localSheetId="2">'5-fn-tb-03'!$A$1:$G$74</definedName>
    <definedName name="_xlnm.Print_Area" localSheetId="3">'5-fn-tb-04'!$A$1:$H$77</definedName>
    <definedName name="_xlnm.Print_Area" localSheetId="4">'5-fn-tb-05'!$A$1:$O$189</definedName>
    <definedName name="_xlnm.Print_Area" localSheetId="5">'5-fn-tb-06'!$A$1:$I$238</definedName>
    <definedName name="_xlnm.Print_Area" localSheetId="6">'5-fn-tb-07'!$A$1:$K$33</definedName>
    <definedName name="_xlnm.Print_Area" localSheetId="7">'5-fn-tb-8'!$A$1:$S$249</definedName>
    <definedName name="_xlnm.Print_Area" localSheetId="8">'5-fn-tb-9'!$A$1:$J$55</definedName>
    <definedName name="_xlnm.Print_Titles" localSheetId="0">'5-fn-tb-01'!$1:$4</definedName>
    <definedName name="_xlnm.Print_Titles" localSheetId="2">'5-fn-tb-03'!$1:$4</definedName>
    <definedName name="_xlnm.Print_Titles" localSheetId="3">'5-fn-tb-04'!$1:$4</definedName>
    <definedName name="_xlnm.Print_Titles" localSheetId="4">'5-fn-tb-05'!$1:$1</definedName>
    <definedName name="_xlnm.Print_Titles" localSheetId="5">'5-fn-tb-06'!$1:$2</definedName>
    <definedName name="_xlnm.Print_Titles" localSheetId="7">'5-fn-tb-8'!$1:$5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4" l="1"/>
  <c r="K80" i="1"/>
  <c r="K47" i="1"/>
  <c r="K14" i="1"/>
  <c r="M46" i="8"/>
  <c r="N46" i="8"/>
  <c r="P15" i="10"/>
  <c r="P112" i="8"/>
  <c r="O144" i="6"/>
  <c r="O143" i="6"/>
  <c r="O36" i="6"/>
  <c r="O35" i="6"/>
  <c r="O108" i="6"/>
  <c r="O107" i="6"/>
  <c r="O180" i="6"/>
  <c r="O179" i="6"/>
  <c r="O72" i="6"/>
  <c r="O71" i="6"/>
  <c r="K14" i="2"/>
  <c r="I14" i="2"/>
  <c r="G13" i="2"/>
  <c r="E108" i="6"/>
  <c r="D108" i="6"/>
  <c r="E86" i="6"/>
  <c r="D86" i="6"/>
  <c r="G72" i="6"/>
  <c r="F72" i="6"/>
  <c r="E72" i="6"/>
  <c r="D72" i="6"/>
  <c r="C72" i="6"/>
  <c r="G50" i="6"/>
  <c r="F50" i="6"/>
  <c r="E50" i="6"/>
  <c r="D50" i="6"/>
  <c r="C50" i="6"/>
  <c r="H50" i="10"/>
  <c r="H51" i="10"/>
  <c r="H37" i="10"/>
  <c r="H38" i="10"/>
  <c r="C225" i="9"/>
  <c r="C214" i="9"/>
  <c r="C215" i="9"/>
  <c r="C182" i="9"/>
  <c r="C171" i="9"/>
  <c r="C160" i="9"/>
  <c r="C114" i="9"/>
  <c r="C115" i="9"/>
  <c r="C104" i="9"/>
  <c r="C93" i="9"/>
  <c r="C92" i="9"/>
  <c r="C82" i="9"/>
  <c r="C81" i="9"/>
  <c r="C80" i="9"/>
  <c r="C49" i="9"/>
  <c r="C48" i="9"/>
  <c r="G13" i="8"/>
  <c r="G12" i="8"/>
  <c r="F13" i="8"/>
  <c r="F12" i="8"/>
  <c r="D13" i="4"/>
  <c r="F13" i="4"/>
  <c r="K143" i="6"/>
  <c r="J143" i="6"/>
  <c r="I143" i="6"/>
  <c r="H143" i="6"/>
  <c r="G143" i="6"/>
  <c r="K142" i="6"/>
  <c r="J142" i="6"/>
  <c r="I142" i="6"/>
  <c r="H142" i="6"/>
  <c r="G142" i="6"/>
  <c r="F142" i="6"/>
  <c r="K141" i="6"/>
  <c r="J141" i="6"/>
  <c r="I141" i="6"/>
  <c r="H141" i="6"/>
  <c r="G141" i="6"/>
  <c r="F141" i="6"/>
  <c r="K121" i="6"/>
  <c r="J121" i="6"/>
  <c r="I121" i="6"/>
  <c r="H121" i="6"/>
  <c r="G121" i="6"/>
  <c r="K120" i="6"/>
  <c r="J120" i="6"/>
  <c r="I120" i="6"/>
  <c r="H120" i="6"/>
  <c r="G120" i="6"/>
  <c r="F120" i="6"/>
  <c r="K119" i="6"/>
  <c r="J119" i="6"/>
  <c r="I119" i="6"/>
  <c r="H119" i="6"/>
  <c r="G119" i="6"/>
  <c r="F119" i="6"/>
  <c r="K107" i="6"/>
  <c r="J107" i="6"/>
  <c r="I107" i="6"/>
  <c r="H107" i="6"/>
  <c r="G107" i="6"/>
  <c r="F107" i="6"/>
  <c r="E107" i="6"/>
  <c r="D107" i="6"/>
  <c r="K106" i="6"/>
  <c r="J106" i="6"/>
  <c r="I106" i="6"/>
  <c r="H106" i="6"/>
  <c r="G106" i="6"/>
  <c r="F106" i="6"/>
  <c r="E106" i="6"/>
  <c r="D106" i="6"/>
  <c r="K105" i="6"/>
  <c r="J105" i="6"/>
  <c r="I105" i="6"/>
  <c r="H105" i="6"/>
  <c r="G105" i="6"/>
  <c r="F105" i="6"/>
  <c r="E105" i="6"/>
  <c r="D105" i="6"/>
  <c r="K85" i="6"/>
  <c r="J85" i="6"/>
  <c r="I85" i="6"/>
  <c r="H85" i="6"/>
  <c r="G85" i="6"/>
  <c r="F85" i="6"/>
  <c r="E85" i="6"/>
  <c r="D85" i="6"/>
  <c r="K84" i="6"/>
  <c r="J84" i="6"/>
  <c r="I84" i="6"/>
  <c r="H84" i="6"/>
  <c r="G84" i="6"/>
  <c r="F84" i="6"/>
  <c r="E84" i="6"/>
  <c r="D84" i="6"/>
  <c r="K83" i="6"/>
  <c r="J83" i="6"/>
  <c r="I83" i="6"/>
  <c r="H83" i="6"/>
  <c r="G83" i="6"/>
  <c r="F83" i="6"/>
  <c r="E83" i="6"/>
  <c r="D83" i="6"/>
  <c r="N71" i="6"/>
  <c r="M71" i="6"/>
  <c r="L71" i="6"/>
  <c r="K71" i="6"/>
  <c r="J71" i="6"/>
  <c r="I71" i="6"/>
  <c r="H71" i="6"/>
  <c r="G71" i="6"/>
  <c r="F71" i="6"/>
  <c r="E71" i="6"/>
  <c r="D71" i="6"/>
  <c r="C71" i="6"/>
  <c r="N70" i="6"/>
  <c r="M70" i="6"/>
  <c r="L70" i="6"/>
  <c r="K70" i="6"/>
  <c r="J70" i="6"/>
  <c r="I70" i="6"/>
  <c r="H70" i="6"/>
  <c r="G70" i="6"/>
  <c r="F70" i="6"/>
  <c r="E70" i="6"/>
  <c r="D70" i="6"/>
  <c r="N69" i="6"/>
  <c r="M69" i="6"/>
  <c r="L69" i="6"/>
  <c r="K69" i="6"/>
  <c r="J69" i="6"/>
  <c r="I69" i="6"/>
  <c r="H69" i="6"/>
  <c r="G69" i="6"/>
  <c r="F69" i="6"/>
  <c r="E69" i="6"/>
  <c r="D69" i="6"/>
  <c r="N49" i="6"/>
  <c r="M49" i="6"/>
  <c r="L49" i="6"/>
  <c r="K49" i="6"/>
  <c r="J49" i="6"/>
  <c r="I49" i="6"/>
  <c r="H49" i="6"/>
  <c r="G49" i="6"/>
  <c r="F49" i="6"/>
  <c r="E49" i="6"/>
  <c r="D49" i="6"/>
  <c r="C49" i="6"/>
  <c r="N48" i="6"/>
  <c r="M48" i="6"/>
  <c r="L48" i="6"/>
  <c r="K48" i="6"/>
  <c r="J48" i="6"/>
  <c r="I48" i="6"/>
  <c r="H48" i="6"/>
  <c r="G48" i="6"/>
  <c r="F48" i="6"/>
  <c r="E48" i="6"/>
  <c r="D48" i="6"/>
  <c r="N47" i="6"/>
  <c r="M47" i="6"/>
  <c r="L47" i="6"/>
  <c r="K47" i="6"/>
  <c r="J47" i="6"/>
  <c r="I47" i="6"/>
  <c r="H47" i="6"/>
  <c r="G47" i="6"/>
  <c r="F47" i="6"/>
  <c r="E47" i="6"/>
  <c r="D47" i="6"/>
  <c r="N35" i="6"/>
  <c r="M35" i="6"/>
  <c r="L35" i="6"/>
  <c r="K35" i="6"/>
  <c r="J35" i="6"/>
  <c r="I35" i="6"/>
  <c r="H35" i="6"/>
  <c r="G35" i="6"/>
  <c r="F35" i="6"/>
  <c r="E35" i="6"/>
  <c r="D35" i="6"/>
  <c r="C35" i="6"/>
  <c r="N34" i="6"/>
  <c r="M34" i="6"/>
  <c r="L34" i="6"/>
  <c r="K34" i="6"/>
  <c r="J34" i="6"/>
  <c r="I34" i="6"/>
  <c r="H34" i="6"/>
  <c r="G34" i="6"/>
  <c r="F34" i="6"/>
  <c r="E34" i="6"/>
  <c r="D34" i="6"/>
  <c r="C34" i="6"/>
  <c r="N33" i="6"/>
  <c r="M33" i="6"/>
  <c r="L33" i="6"/>
  <c r="K33" i="6"/>
  <c r="J33" i="6"/>
  <c r="I33" i="6"/>
  <c r="H33" i="6"/>
  <c r="F33" i="6"/>
  <c r="E33" i="6"/>
  <c r="D33" i="6"/>
  <c r="C33" i="6"/>
  <c r="G70" i="5"/>
  <c r="E70" i="5"/>
  <c r="D70" i="5"/>
  <c r="C70" i="5"/>
  <c r="G58" i="5"/>
  <c r="E58" i="5"/>
  <c r="D58" i="5"/>
  <c r="C58" i="5"/>
  <c r="E36" i="5"/>
  <c r="D36" i="5"/>
  <c r="C25" i="5"/>
  <c r="D14" i="5"/>
  <c r="F68" i="4"/>
  <c r="E68" i="4"/>
  <c r="F57" i="4"/>
  <c r="E57" i="4"/>
  <c r="D57" i="4"/>
  <c r="E46" i="4"/>
  <c r="D46" i="4"/>
  <c r="D45" i="4"/>
  <c r="F35" i="4"/>
  <c r="E35" i="4"/>
  <c r="F24" i="4"/>
  <c r="E24" i="4"/>
  <c r="D24" i="4"/>
  <c r="D23" i="4"/>
  <c r="R51" i="10"/>
  <c r="T51" i="10"/>
  <c r="T38" i="10"/>
  <c r="T15" i="10"/>
  <c r="R233" i="8"/>
  <c r="R222" i="8"/>
  <c r="R211" i="8"/>
  <c r="R178" i="8"/>
  <c r="R145" i="8"/>
  <c r="R134" i="8"/>
  <c r="R123" i="8"/>
  <c r="R112" i="8"/>
  <c r="R57" i="8"/>
  <c r="R46" i="8"/>
  <c r="R35" i="8"/>
  <c r="R24" i="8"/>
  <c r="R13" i="8"/>
  <c r="S51" i="10"/>
  <c r="S38" i="10"/>
  <c r="S15" i="10"/>
  <c r="Q233" i="8"/>
  <c r="Q222" i="8"/>
  <c r="Q211" i="8"/>
  <c r="Q178" i="8"/>
  <c r="Q145" i="8"/>
  <c r="Q134" i="8"/>
  <c r="Q123" i="8"/>
  <c r="Q112" i="8"/>
  <c r="Q57" i="8"/>
  <c r="Q46" i="8"/>
  <c r="Q35" i="8"/>
  <c r="Q24" i="8"/>
  <c r="Q13" i="8"/>
  <c r="M14" i="4"/>
  <c r="M69" i="4"/>
  <c r="M58" i="4"/>
  <c r="M47" i="4"/>
  <c r="M36" i="4"/>
  <c r="M25" i="4"/>
  <c r="S52" i="10"/>
  <c r="R234" i="8"/>
  <c r="Q234" i="8"/>
  <c r="M70" i="4"/>
  <c r="T52" i="10"/>
  <c r="T53" i="10"/>
  <c r="P233" i="8"/>
  <c r="O233" i="8"/>
  <c r="N233" i="8"/>
  <c r="M233" i="8"/>
  <c r="L233" i="8"/>
  <c r="K233" i="8"/>
  <c r="J233" i="8"/>
  <c r="P222" i="8"/>
  <c r="O222" i="8"/>
  <c r="N222" i="8"/>
  <c r="M222" i="8"/>
  <c r="L222" i="8"/>
  <c r="K222" i="8"/>
  <c r="J222" i="8"/>
  <c r="P211" i="8"/>
  <c r="O211" i="8"/>
  <c r="N211" i="8"/>
  <c r="M211" i="8"/>
  <c r="L211" i="8"/>
  <c r="K211" i="8"/>
  <c r="J211" i="8"/>
  <c r="P178" i="8"/>
  <c r="O178" i="8"/>
  <c r="N178" i="8"/>
  <c r="M178" i="8"/>
  <c r="L178" i="8"/>
  <c r="K178" i="8"/>
  <c r="J178" i="8"/>
  <c r="P167" i="8"/>
  <c r="O167" i="8"/>
  <c r="N167" i="8"/>
  <c r="M167" i="8"/>
  <c r="L167" i="8"/>
  <c r="K167" i="8"/>
  <c r="J167" i="8"/>
  <c r="P156" i="8"/>
  <c r="O156" i="8"/>
  <c r="N156" i="8"/>
  <c r="M156" i="8"/>
  <c r="L156" i="8"/>
  <c r="K156" i="8"/>
  <c r="J156" i="8"/>
  <c r="P145" i="8"/>
  <c r="O145" i="8"/>
  <c r="N145" i="8"/>
  <c r="M145" i="8"/>
  <c r="L145" i="8"/>
  <c r="K145" i="8"/>
  <c r="J145" i="8"/>
  <c r="P134" i="8"/>
  <c r="O134" i="8"/>
  <c r="N134" i="8"/>
  <c r="M134" i="8"/>
  <c r="L134" i="8"/>
  <c r="K134" i="8"/>
  <c r="J134" i="8"/>
  <c r="P123" i="8"/>
  <c r="O123" i="8"/>
  <c r="N123" i="8"/>
  <c r="M123" i="8"/>
  <c r="L123" i="8"/>
  <c r="K123" i="8"/>
  <c r="J123" i="8"/>
  <c r="O112" i="8"/>
  <c r="N112" i="8"/>
  <c r="M112" i="8"/>
  <c r="L112" i="8"/>
  <c r="K112" i="8"/>
  <c r="J112" i="8"/>
  <c r="P101" i="8"/>
  <c r="O101" i="8"/>
  <c r="N101" i="8"/>
  <c r="M101" i="8"/>
  <c r="L101" i="8"/>
  <c r="K101" i="8"/>
  <c r="J101" i="8"/>
  <c r="P90" i="8"/>
  <c r="O90" i="8"/>
  <c r="N90" i="8"/>
  <c r="M90" i="8"/>
  <c r="L90" i="8"/>
  <c r="K90" i="8"/>
  <c r="J90" i="8"/>
  <c r="P79" i="8"/>
  <c r="O79" i="8"/>
  <c r="N79" i="8"/>
  <c r="M79" i="8"/>
  <c r="L79" i="8"/>
  <c r="K79" i="8"/>
  <c r="J79" i="8"/>
  <c r="P57" i="8"/>
  <c r="O57" i="8"/>
  <c r="N57" i="8"/>
  <c r="M57" i="8"/>
  <c r="L57" i="8"/>
  <c r="K57" i="8"/>
  <c r="J57" i="8"/>
  <c r="P46" i="8"/>
  <c r="O46" i="8"/>
  <c r="L46" i="8"/>
  <c r="K46" i="8"/>
  <c r="J46" i="8"/>
  <c r="P35" i="8"/>
  <c r="O35" i="8"/>
  <c r="N35" i="8"/>
  <c r="M35" i="8"/>
  <c r="L35" i="8"/>
  <c r="K35" i="8"/>
  <c r="J35" i="8"/>
  <c r="P24" i="8"/>
  <c r="O24" i="8"/>
  <c r="N24" i="8"/>
  <c r="M24" i="8"/>
  <c r="L24" i="8"/>
  <c r="K24" i="8"/>
  <c r="J24" i="8"/>
  <c r="K13" i="8"/>
  <c r="L13" i="8"/>
  <c r="M13" i="8"/>
  <c r="N13" i="8"/>
  <c r="O13" i="8"/>
  <c r="P13" i="8"/>
  <c r="J13" i="8"/>
  <c r="N71" i="5"/>
  <c r="M71" i="5"/>
  <c r="L71" i="5"/>
  <c r="K71" i="5"/>
  <c r="J71" i="5"/>
  <c r="I71" i="5"/>
  <c r="N59" i="5"/>
  <c r="M59" i="5"/>
  <c r="L59" i="5"/>
  <c r="K59" i="5"/>
  <c r="J59" i="5"/>
  <c r="I59" i="5"/>
  <c r="N48" i="5"/>
  <c r="M48" i="5"/>
  <c r="L48" i="5"/>
  <c r="K48" i="5"/>
  <c r="J48" i="5"/>
  <c r="I48" i="5"/>
  <c r="N37" i="5"/>
  <c r="M37" i="5"/>
  <c r="L37" i="5"/>
  <c r="K37" i="5"/>
  <c r="J37" i="5"/>
  <c r="I37" i="5"/>
  <c r="N26" i="5"/>
  <c r="M26" i="5"/>
  <c r="L26" i="5"/>
  <c r="K26" i="5"/>
  <c r="J26" i="5"/>
  <c r="I26" i="5"/>
  <c r="J15" i="5"/>
  <c r="K15" i="5"/>
  <c r="L15" i="5"/>
  <c r="M15" i="5"/>
  <c r="N15" i="5"/>
  <c r="I15" i="5"/>
  <c r="L69" i="4"/>
  <c r="K69" i="4"/>
  <c r="J69" i="4"/>
  <c r="I69" i="4"/>
  <c r="H69" i="4"/>
  <c r="L58" i="4"/>
  <c r="K58" i="4"/>
  <c r="J58" i="4"/>
  <c r="I58" i="4"/>
  <c r="H58" i="4"/>
  <c r="L47" i="4"/>
  <c r="K47" i="4"/>
  <c r="J47" i="4"/>
  <c r="I47" i="4"/>
  <c r="H47" i="4"/>
  <c r="L36" i="4"/>
  <c r="K36" i="4"/>
  <c r="J36" i="4"/>
  <c r="I36" i="4"/>
  <c r="H36" i="4"/>
  <c r="L25" i="4"/>
  <c r="K25" i="4"/>
  <c r="J25" i="4"/>
  <c r="H25" i="4"/>
  <c r="I14" i="4"/>
  <c r="J14" i="4"/>
  <c r="K14" i="4"/>
  <c r="L14" i="4"/>
  <c r="Q51" i="10"/>
  <c r="P51" i="10"/>
  <c r="O51" i="10"/>
  <c r="N51" i="10"/>
  <c r="M51" i="10"/>
  <c r="L51" i="10"/>
  <c r="K51" i="10"/>
  <c r="R38" i="10"/>
  <c r="Q38" i="10"/>
  <c r="P38" i="10"/>
  <c r="O38" i="10"/>
  <c r="N38" i="10"/>
  <c r="M38" i="10"/>
  <c r="L38" i="10"/>
  <c r="K38" i="10"/>
  <c r="L15" i="10"/>
  <c r="M15" i="10"/>
  <c r="N15" i="10"/>
  <c r="O15" i="10"/>
  <c r="Q15" i="10"/>
  <c r="R15" i="10"/>
  <c r="K15" i="10"/>
  <c r="I25" i="4"/>
</calcChain>
</file>

<file path=xl/sharedStrings.xml><?xml version="1.0" encoding="utf-8"?>
<sst xmlns="http://schemas.openxmlformats.org/spreadsheetml/2006/main" count="4885" uniqueCount="213">
  <si>
    <t>Crop</t>
  </si>
  <si>
    <t>Crop Year</t>
  </si>
  <si>
    <t>Acres</t>
  </si>
  <si>
    <t>$/Ton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</si>
  <si>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</si>
  <si>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</si>
  <si>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</si>
  <si>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</si>
  <si>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</si>
  <si>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</si>
  <si>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</si>
  <si>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</si>
  <si>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</si>
  <si>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</si>
  <si>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</si>
  <si>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</si>
  <si>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Season Average</t>
  </si>
  <si>
    <t>Strawberries, Fresh Market</t>
  </si>
  <si>
    <t>Strawberries, Processing</t>
  </si>
  <si>
    <t>Strawberries, All</t>
  </si>
  <si>
    <t>Grapefruit, All</t>
  </si>
  <si>
    <t>Lemons</t>
  </si>
  <si>
    <t>Oranges, Navel and Misc.</t>
  </si>
  <si>
    <t>Oranges, Valencia</t>
  </si>
  <si>
    <t>Oranges, All</t>
  </si>
  <si>
    <t>All Sales</t>
  </si>
  <si>
    <t>Processing</t>
  </si>
  <si>
    <t>Fresh Sales</t>
  </si>
  <si>
    <t>Lemons, All</t>
  </si>
  <si>
    <t>Tons</t>
  </si>
  <si>
    <t>Apples</t>
  </si>
  <si>
    <t>Apricots</t>
  </si>
  <si>
    <t>Avocados</t>
  </si>
  <si>
    <t>Cherries, Sweet</t>
  </si>
  <si>
    <t>Dates</t>
  </si>
  <si>
    <t>Kiwifruit</t>
  </si>
  <si>
    <t>Nectarines</t>
  </si>
  <si>
    <t>Olives</t>
  </si>
  <si>
    <t>Peaches, Clingstone</t>
  </si>
  <si>
    <t>Peaches, Freestone</t>
  </si>
  <si>
    <t>Peaches, All</t>
  </si>
  <si>
    <t>Pears, Bartlett</t>
  </si>
  <si>
    <t>Pears, All</t>
  </si>
  <si>
    <t>Plums</t>
  </si>
  <si>
    <t>(Shelled Basis)</t>
  </si>
  <si>
    <t>(In-Shell Basis)</t>
  </si>
  <si>
    <t>Pistachios</t>
  </si>
  <si>
    <t>Unharvested Tons</t>
  </si>
  <si>
    <t>Grapes</t>
  </si>
  <si>
    <t>Harvested Tons Not Sold</t>
  </si>
  <si>
    <t>Sold Shelled</t>
  </si>
  <si>
    <t>Sold In-Shell</t>
  </si>
  <si>
    <t xml:space="preserve">Fresh Sales </t>
  </si>
  <si>
    <t>Mandarins and Mandarin</t>
  </si>
  <si>
    <t>Hybrids (Includes Tangelos,</t>
  </si>
  <si>
    <t>Tangerines and Tangors)</t>
  </si>
  <si>
    <t>10-11</t>
  </si>
  <si>
    <t>11-12</t>
  </si>
  <si>
    <t xml:space="preserve">Walnuts </t>
  </si>
  <si>
    <t xml:space="preserve"> Oranges, Navel and Misc.</t>
  </si>
  <si>
    <t>12-13</t>
  </si>
  <si>
    <t>Grapes, Wine</t>
  </si>
  <si>
    <t xml:space="preserve">Grapes, Table </t>
  </si>
  <si>
    <t>Blueberries</t>
  </si>
  <si>
    <t>13-14</t>
  </si>
  <si>
    <t>Raspberries, All</t>
  </si>
  <si>
    <r>
      <t xml:space="preserve">Almonds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</si>
  <si>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Processing </t>
    </r>
    <r>
      <rPr>
        <vertAlign val="superscript"/>
        <sz val="8"/>
        <rFont val="Calibri"/>
        <family val="2"/>
      </rPr>
      <t>2</t>
    </r>
  </si>
  <si>
    <t xml:space="preserve"> </t>
  </si>
  <si>
    <r>
      <rPr>
        <i/>
        <vertAlign val="superscript"/>
        <sz val="7"/>
        <rFont val="Calibri"/>
        <family val="2"/>
      </rPr>
      <t xml:space="preserve">1 </t>
    </r>
    <r>
      <rPr>
        <i/>
        <sz val="7"/>
        <rFont val="Calibri"/>
        <family val="2"/>
      </rPr>
      <t> The processed value is based on equivalent returns at the processing plant door.  The fresh market value is at the point of first sale.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</si>
  <si>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Estimates began in 2014.</t>
    </r>
  </si>
  <si>
    <r>
      <t xml:space="preserve">Raspberries, Black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</si>
  <si>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Raspberries, Red </t>
    </r>
    <r>
      <rPr>
        <b/>
        <vertAlign val="superscript"/>
        <sz val="8"/>
        <color rgb="FF2A6F1F"/>
        <rFont val="Calibri"/>
        <family val="2"/>
      </rPr>
      <t>2</t>
    </r>
  </si>
  <si>
    <r>
      <rPr>
        <i/>
        <vertAlign val="superscript"/>
        <sz val="7"/>
        <color theme="1"/>
        <rFont val="Calibri"/>
        <family val="2"/>
      </rPr>
      <t>1</t>
    </r>
    <r>
      <rPr>
        <i/>
        <sz val="7"/>
        <color theme="1"/>
        <rFont val="Calibri"/>
        <family val="2"/>
      </rPr>
      <t xml:space="preserve">  Missing data not published to avoid disclosure of individual operations.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</si>
  <si>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Non-bearing shown only in year when acreage surveys were conducted.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</si>
  <si>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Return at processing plant door or packinghouse door.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</si>
  <si>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Non-bearing shown only in year when acreage survey conducted.</t>
    </r>
  </si>
  <si>
    <t>NA</t>
  </si>
  <si>
    <t>NA    Not available.</t>
  </si>
  <si>
    <t>Raspberries, Black</t>
  </si>
  <si>
    <t>Raspberries, Red</t>
  </si>
  <si>
    <t>14-15</t>
  </si>
  <si>
    <t>D</t>
  </si>
  <si>
    <t>Oranges, Navel 
and Misc.</t>
  </si>
  <si>
    <t>NA   Not available.</t>
  </si>
  <si>
    <t xml:space="preserve"> NA</t>
  </si>
  <si>
    <t>D   Withheld to avoid disclosure of individual operations.</t>
  </si>
  <si>
    <t>D  Withheld to avoid disclosure of individual operations.</t>
  </si>
  <si>
    <t>15-16</t>
  </si>
  <si>
    <t>S</t>
  </si>
  <si>
    <t>16-17</t>
  </si>
  <si>
    <t xml:space="preserve">S  Insufficient number of reports to establish an estimate.  </t>
  </si>
  <si>
    <r>
      <t xml:space="preserve">Grapes, All </t>
    </r>
    <r>
      <rPr>
        <b/>
        <vertAlign val="superscript"/>
        <sz val="8"/>
        <color rgb="FF2A6F1F"/>
        <rFont val="Calibri"/>
        <family val="2"/>
      </rPr>
      <t xml:space="preserve"> </t>
    </r>
  </si>
  <si>
    <t xml:space="preserve">NA </t>
  </si>
  <si>
    <t>17-18</t>
  </si>
  <si>
    <t xml:space="preserve">             NA</t>
  </si>
  <si>
    <r>
      <rPr>
        <i/>
        <vertAlign val="superscript"/>
        <sz val="7"/>
        <color theme="1"/>
        <rFont val="Calibri"/>
        <family val="2"/>
      </rPr>
      <t>2</t>
    </r>
    <r>
      <rPr>
        <i/>
        <sz val="7"/>
        <color theme="1"/>
        <rFont val="Calibri"/>
        <family val="2"/>
      </rPr>
      <t xml:space="preserve">  Small quantities of processed grapefruit are included in fresh.</t>
    </r>
  </si>
  <si>
    <r>
      <t xml:space="preserve">Bearing
</t>
    </r>
    <r>
      <rPr>
        <i/>
        <sz val="8"/>
        <rFont val="Calibri"/>
        <family val="2"/>
        <scheme val="minor"/>
      </rPr>
      <t>Acres</t>
    </r>
  </si>
  <si>
    <r>
      <t xml:space="preserve">Yield Per Acre
</t>
    </r>
    <r>
      <rPr>
        <i/>
        <sz val="8"/>
        <rFont val="Calibri"/>
        <family val="2"/>
        <scheme val="minor"/>
      </rPr>
      <t>Tons</t>
    </r>
  </si>
  <si>
    <r>
      <t xml:space="preserve">Production
</t>
    </r>
    <r>
      <rPr>
        <i/>
        <sz val="8"/>
        <rFont val="Calibri"/>
        <family val="2"/>
        <scheme val="minor"/>
      </rPr>
      <t>Tons</t>
    </r>
  </si>
  <si>
    <r>
      <t xml:space="preserve">Utilized Production
</t>
    </r>
    <r>
      <rPr>
        <i/>
        <sz val="8"/>
        <rFont val="Calibri"/>
        <family val="2"/>
        <scheme val="minor"/>
      </rPr>
      <t>Tons</t>
    </r>
  </si>
  <si>
    <r>
      <t xml:space="preserve">Total Value
</t>
    </r>
    <r>
      <rPr>
        <i/>
        <sz val="8"/>
        <rFont val="Calibri"/>
        <family val="2"/>
        <scheme val="minor"/>
      </rPr>
      <t>$1,000</t>
    </r>
  </si>
  <si>
    <t>Harvested</t>
  </si>
  <si>
    <t>Yield Per Acre</t>
  </si>
  <si>
    <t>Production</t>
  </si>
  <si>
    <t>Utilized Production</t>
  </si>
  <si>
    <r>
      <t xml:space="preserve">Value Per Unit </t>
    </r>
    <r>
      <rPr>
        <b/>
        <vertAlign val="superscript"/>
        <sz val="8"/>
        <color rgb="FF296F1F"/>
        <rFont val="Calibri"/>
        <family val="2"/>
      </rPr>
      <t>1</t>
    </r>
  </si>
  <si>
    <t>Total Value</t>
  </si>
  <si>
    <t>Cwt.</t>
  </si>
  <si>
    <t>$/Cwt.</t>
  </si>
  <si>
    <t>Bearing</t>
  </si>
  <si>
    <t>Cartons</t>
  </si>
  <si>
    <t>$/Carton</t>
  </si>
  <si>
    <t>Fresh Market</t>
  </si>
  <si>
    <t>Quantity</t>
  </si>
  <si>
    <t>1,000 Cartons</t>
  </si>
  <si>
    <t xml:space="preserve">    Crop</t>
  </si>
  <si>
    <t>Utilized 
Production</t>
  </si>
  <si>
    <t>Total</t>
  </si>
  <si>
    <t>Canned</t>
  </si>
  <si>
    <t>Juice or Crushed</t>
  </si>
  <si>
    <t>Frozen</t>
  </si>
  <si>
    <t>Dried (Fresh Basis)</t>
  </si>
  <si>
    <t>Dried Basis</t>
  </si>
  <si>
    <t>Value</t>
  </si>
  <si>
    <t>Value Per Unit</t>
  </si>
  <si>
    <t>Marketable In-Shell</t>
  </si>
  <si>
    <t>Shelling 
Stock</t>
  </si>
  <si>
    <t>Pounds</t>
  </si>
  <si>
    <t>1,000 Pounds</t>
  </si>
  <si>
    <t>$/Pound</t>
  </si>
  <si>
    <r>
      <t>Cartons</t>
    </r>
    <r>
      <rPr>
        <i/>
        <vertAlign val="superscript"/>
        <sz val="8"/>
        <rFont val="Calibri"/>
        <family val="2"/>
      </rPr>
      <t>2</t>
    </r>
  </si>
  <si>
    <r>
      <t>Value Per Unit</t>
    </r>
    <r>
      <rPr>
        <b/>
        <vertAlign val="superscript"/>
        <sz val="8"/>
        <color rgb="FF2A6F1F"/>
        <rFont val="Calibri"/>
        <family val="2"/>
      </rPr>
      <t>3</t>
    </r>
  </si>
  <si>
    <r>
      <t>Value</t>
    </r>
    <r>
      <rPr>
        <b/>
        <vertAlign val="superscript"/>
        <sz val="8"/>
        <color rgb="FF2A6F1F"/>
        <rFont val="Calibri"/>
        <family val="2"/>
      </rPr>
      <t>2</t>
    </r>
  </si>
  <si>
    <r>
      <t>Non-Bearing</t>
    </r>
    <r>
      <rPr>
        <b/>
        <vertAlign val="superscript"/>
        <sz val="8"/>
        <color rgb="FF2A6F1F"/>
        <rFont val="Calibri"/>
        <family val="2"/>
        <scheme val="minor"/>
      </rPr>
      <t>1</t>
    </r>
    <r>
      <rPr>
        <b/>
        <sz val="8"/>
        <color rgb="FF2A6F1F"/>
        <rFont val="Calibri"/>
        <family val="2"/>
        <scheme val="minor"/>
      </rPr>
      <t xml:space="preserve">
</t>
    </r>
    <r>
      <rPr>
        <i/>
        <sz val="8"/>
        <rFont val="Calibri"/>
        <family val="2"/>
        <scheme val="minor"/>
      </rPr>
      <t>Acres</t>
    </r>
  </si>
  <si>
    <r>
      <t>Value Per Unit</t>
    </r>
    <r>
      <rPr>
        <b/>
        <vertAlign val="superscript"/>
        <sz val="8"/>
        <color rgb="FF2A6F1F"/>
        <rFont val="Calibri"/>
        <family val="2"/>
        <scheme val="minor"/>
      </rPr>
      <t>2</t>
    </r>
    <r>
      <rPr>
        <b/>
        <sz val="8"/>
        <color rgb="FF2A6F1F"/>
        <rFont val="Calibri"/>
        <family val="2"/>
        <scheme val="minor"/>
      </rPr>
      <t xml:space="preserve">
</t>
    </r>
    <r>
      <rPr>
        <i/>
        <sz val="8"/>
        <rFont val="Calibri"/>
        <family val="2"/>
        <scheme val="minor"/>
      </rPr>
      <t>$/Ton</t>
    </r>
  </si>
  <si>
    <r>
      <t>Non-Bearing</t>
    </r>
    <r>
      <rPr>
        <b/>
        <vertAlign val="superscript"/>
        <sz val="8"/>
        <color rgb="FF2A6F1F"/>
        <rFont val="Calibri"/>
        <family val="2"/>
      </rPr>
      <t>1</t>
    </r>
  </si>
  <si>
    <t>Prunes</t>
  </si>
  <si>
    <t>18-19</t>
  </si>
  <si>
    <t>Strawberries</t>
  </si>
  <si>
    <t>Wine Grapes</t>
  </si>
  <si>
    <t xml:space="preserve">D    Withheld to avoid disclosure of individual operations. </t>
  </si>
  <si>
    <t>19-20</t>
  </si>
  <si>
    <t>Berry Unutilized Production and Value, 2011-2020</t>
  </si>
  <si>
    <t>Berry Acreage, Production and Value, 2011-2020</t>
  </si>
  <si>
    <t>Non-Citrus Fruit Acreage, Production and Value, 2011-2020</t>
  </si>
  <si>
    <t>Non-Citrus Fruit Unutilized Production, 2011-2020</t>
  </si>
  <si>
    <t>Tree Nut Acreage, Production and Value, 2011-2020</t>
  </si>
  <si>
    <t>20-21</t>
  </si>
  <si>
    <t>Production change</t>
  </si>
  <si>
    <r>
      <t>Raspberries, Black</t>
    </r>
    <r>
      <rPr>
        <vertAlign val="superscript"/>
        <sz val="8"/>
        <rFont val="Calibri"/>
        <family val="2"/>
      </rPr>
      <t xml:space="preserve"> 1</t>
    </r>
  </si>
  <si>
    <r>
      <t xml:space="preserve">Raspberries, Red </t>
    </r>
    <r>
      <rPr>
        <vertAlign val="superscript"/>
        <sz val="8"/>
        <rFont val="Calibri"/>
        <family val="2"/>
      </rPr>
      <t>1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</si>
  <si>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Estimates discontinued in 2018</t>
    </r>
  </si>
  <si>
    <t xml:space="preserve">  NA  Not available.</t>
  </si>
  <si>
    <r>
      <rPr>
        <i/>
        <vertAlign val="superscript"/>
        <sz val="7"/>
        <color theme="1"/>
        <rFont val="Calibri"/>
        <family val="2"/>
      </rPr>
      <t>3</t>
    </r>
    <r>
      <rPr>
        <i/>
        <sz val="7"/>
        <color theme="1"/>
        <rFont val="Calibri"/>
        <family val="2"/>
      </rPr>
      <t xml:space="preserve">  Beginning in January 2020, monthly price estimates have been discontinued. </t>
    </r>
  </si>
  <si>
    <r>
      <rPr>
        <i/>
        <vertAlign val="superscript"/>
        <sz val="7"/>
        <color theme="1"/>
        <rFont val="Calibri"/>
        <family val="2"/>
      </rPr>
      <t>4</t>
    </r>
    <r>
      <rPr>
        <i/>
        <sz val="7"/>
        <color theme="1"/>
        <rFont val="Calibri"/>
        <family val="2"/>
      </rPr>
      <t xml:space="preserve">  Includes tangelos, tangerines and tangors.</t>
    </r>
  </si>
  <si>
    <r>
      <t xml:space="preserve">Mandarins &amp; 
Mandarin Hybrids </t>
    </r>
    <r>
      <rPr>
        <b/>
        <vertAlign val="superscript"/>
        <sz val="8"/>
        <color rgb="FF2A6F1F"/>
        <rFont val="Calibri"/>
        <family val="2"/>
        <scheme val="minor"/>
      </rPr>
      <t>4</t>
    </r>
  </si>
  <si>
    <r>
      <t>All Sales</t>
    </r>
    <r>
      <rPr>
        <vertAlign val="superscript"/>
        <sz val="8"/>
        <rFont val="Calibri"/>
        <family val="2"/>
      </rPr>
      <t xml:space="preserve"> 3</t>
    </r>
  </si>
  <si>
    <r>
      <t xml:space="preserve">All Sales </t>
    </r>
    <r>
      <rPr>
        <vertAlign val="superscript"/>
        <sz val="8"/>
        <color theme="1"/>
        <rFont val="Calibri"/>
        <family val="2"/>
      </rPr>
      <t>3</t>
    </r>
  </si>
  <si>
    <r>
      <t>Pears, Other</t>
    </r>
    <r>
      <rPr>
        <vertAlign val="superscript"/>
        <sz val="8"/>
        <rFont val="Calibri"/>
        <family val="2"/>
      </rPr>
      <t xml:space="preserve"> 1</t>
    </r>
  </si>
  <si>
    <r>
      <t>Pears, Bartlett</t>
    </r>
    <r>
      <rPr>
        <vertAlign val="superscript"/>
        <sz val="8"/>
        <rFont val="Calibri"/>
        <family val="2"/>
      </rPr>
      <t xml:space="preserve"> 1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</si>
  <si>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Estimates discontinued in 2018.</t>
    </r>
  </si>
  <si>
    <r>
      <rPr>
        <i/>
        <vertAlign val="superscript"/>
        <sz val="7"/>
        <rFont val="Calibri"/>
        <family val="2"/>
      </rPr>
      <t>4</t>
    </r>
    <r>
      <rPr>
        <i/>
        <sz val="7"/>
        <rFont val="Calibri"/>
        <family val="2"/>
      </rPr>
      <t xml:space="preserve">  Production is the fresh equivalent of dried and not dried.</t>
    </r>
  </si>
  <si>
    <r>
      <t xml:space="preserve">Pears, Bartlett </t>
    </r>
    <r>
      <rPr>
        <b/>
        <vertAlign val="superscript"/>
        <sz val="8"/>
        <color rgb="FF2A6F1F"/>
        <rFont val="Calibri"/>
        <family val="2"/>
      </rPr>
      <t>3</t>
    </r>
  </si>
  <si>
    <r>
      <t>Pears, Other</t>
    </r>
    <r>
      <rPr>
        <b/>
        <vertAlign val="superscript"/>
        <sz val="8"/>
        <color rgb="FF2A6F1F"/>
        <rFont val="Calibri"/>
        <family val="2"/>
      </rPr>
      <t xml:space="preserve"> 3</t>
    </r>
  </si>
  <si>
    <r>
      <t xml:space="preserve">Grapes, Raisin </t>
    </r>
    <r>
      <rPr>
        <b/>
        <vertAlign val="superscript"/>
        <sz val="8"/>
        <color rgb="FF2A6F1F"/>
        <rFont val="Calibri"/>
        <family val="2"/>
      </rPr>
      <t>4</t>
    </r>
  </si>
  <si>
    <r>
      <t>Grapes, Table</t>
    </r>
    <r>
      <rPr>
        <b/>
        <vertAlign val="superscript"/>
        <sz val="8"/>
        <color rgb="FF2A6F1F"/>
        <rFont val="Calibri"/>
        <family val="2"/>
      </rPr>
      <t xml:space="preserve"> 4</t>
    </r>
  </si>
  <si>
    <r>
      <t xml:space="preserve">Figs </t>
    </r>
    <r>
      <rPr>
        <b/>
        <vertAlign val="superscript"/>
        <sz val="8"/>
        <color rgb="FF2A6F1F"/>
        <rFont val="Calibri"/>
        <family val="2"/>
      </rPr>
      <t>3</t>
    </r>
  </si>
  <si>
    <t>Limited</t>
  </si>
  <si>
    <t>Undersize</t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</si>
  <si>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Price and value are based on the edible portion of the crop only.   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</si>
  <si>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Estimates were discontinued in 2019.   </t>
    </r>
  </si>
  <si>
    <r>
      <t>Pecans</t>
    </r>
    <r>
      <rPr>
        <b/>
        <vertAlign val="superscript"/>
        <sz val="8"/>
        <color rgb="FF2A6F1F"/>
        <rFont val="Calibri"/>
        <family val="2"/>
      </rPr>
      <t xml:space="preserve"> 3</t>
    </r>
  </si>
  <si>
    <r>
      <rPr>
        <i/>
        <vertAlign val="superscript"/>
        <sz val="7"/>
        <rFont val="Calibri"/>
        <family val="2"/>
      </rPr>
      <t xml:space="preserve">1  </t>
    </r>
    <r>
      <rPr>
        <i/>
        <sz val="7"/>
        <rFont val="Calibri"/>
        <family val="2"/>
      </rPr>
      <t>Estimates discontinued in 2018.</t>
    </r>
  </si>
  <si>
    <r>
      <t>Value</t>
    </r>
    <r>
      <rPr>
        <b/>
        <vertAlign val="superscript"/>
        <sz val="8"/>
        <color rgb="FF2A6F1F"/>
        <rFont val="Calibri"/>
        <family val="2"/>
      </rPr>
      <t>3</t>
    </r>
  </si>
  <si>
    <r>
      <t xml:space="preserve">Grapefruit, All </t>
    </r>
    <r>
      <rPr>
        <b/>
        <vertAlign val="superscript"/>
        <sz val="8"/>
        <color rgb="FF2A6F1F"/>
        <rFont val="Calibri"/>
        <family val="2"/>
      </rPr>
      <t>4</t>
    </r>
  </si>
  <si>
    <r>
      <t xml:space="preserve">Citrus Acreage, Production and Value, 2011-2020 </t>
    </r>
    <r>
      <rPr>
        <b/>
        <vertAlign val="superscript"/>
        <sz val="10"/>
        <color rgb="FFFFFFFF"/>
        <rFont val="Calibri"/>
        <family val="2"/>
      </rPr>
      <t>1</t>
    </r>
  </si>
  <si>
    <r>
      <t xml:space="preserve">Citrus Sales by Utilization and Value Per Carton, 2011-2020 </t>
    </r>
    <r>
      <rPr>
        <b/>
        <vertAlign val="superscript"/>
        <sz val="10"/>
        <color rgb="FFFFFFFF"/>
        <rFont val="Calibri"/>
        <family val="2"/>
      </rPr>
      <t>1, 2</t>
    </r>
  </si>
  <si>
    <r>
      <t xml:space="preserve">Citrus Monthly and Season Average Prices Received ($/Carton), 2011-2020 </t>
    </r>
    <r>
      <rPr>
        <b/>
        <vertAlign val="superscript"/>
        <sz val="10"/>
        <color rgb="FFFFFFFF"/>
        <rFont val="Calibri"/>
        <family val="2"/>
      </rPr>
      <t>1</t>
    </r>
  </si>
  <si>
    <r>
      <t xml:space="preserve">Non-Bearing </t>
    </r>
    <r>
      <rPr>
        <b/>
        <vertAlign val="superscript"/>
        <sz val="8"/>
        <color rgb="FF2A6F1F"/>
        <rFont val="Calibri"/>
        <family val="2"/>
        <scheme val="minor"/>
      </rPr>
      <t>1</t>
    </r>
    <r>
      <rPr>
        <b/>
        <sz val="8"/>
        <color rgb="FF2A6F1F"/>
        <rFont val="Calibri"/>
        <family val="2"/>
        <scheme val="minor"/>
      </rPr>
      <t xml:space="preserve">
</t>
    </r>
    <r>
      <rPr>
        <i/>
        <sz val="8"/>
        <rFont val="Calibri"/>
        <family val="2"/>
        <scheme val="minor"/>
      </rPr>
      <t>Acres</t>
    </r>
  </si>
  <si>
    <r>
      <t xml:space="preserve">Value Per Unit </t>
    </r>
    <r>
      <rPr>
        <b/>
        <vertAlign val="superscript"/>
        <sz val="8"/>
        <color rgb="FF2A6F1F"/>
        <rFont val="Calibri"/>
        <family val="2"/>
        <scheme val="minor"/>
      </rPr>
      <t>2</t>
    </r>
    <r>
      <rPr>
        <b/>
        <sz val="8"/>
        <color rgb="FF2A6F1F"/>
        <rFont val="Calibri"/>
        <family val="2"/>
        <scheme val="minor"/>
      </rPr>
      <t xml:space="preserve">
</t>
    </r>
    <r>
      <rPr>
        <i/>
        <sz val="8"/>
        <rFont val="Calibri"/>
        <family val="2"/>
        <scheme val="minor"/>
      </rPr>
      <t>$/Ton</t>
    </r>
  </si>
  <si>
    <r>
      <t xml:space="preserve">Non-Citrus Fruit Utilized Production and Average Grower Return, 2011-2020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</si>
  <si>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Missing data not published to avoid possible disclosure of individual operations.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</si>
  <si>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Total processed includes canned, frozen, juice, and brined.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</si>
  <si>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Small quantities processed included in fresh to avoid possible disclosure.</t>
    </r>
  </si>
  <si>
    <r>
      <rPr>
        <i/>
        <vertAlign val="superscript"/>
        <sz val="7"/>
        <rFont val="Calibri"/>
        <family val="2"/>
      </rPr>
      <t>4</t>
    </r>
    <r>
      <rPr>
        <i/>
        <sz val="7"/>
        <rFont val="Calibri"/>
        <family val="2"/>
      </rPr>
      <t xml:space="preserve">  Estimates discontinued in 2018.</t>
    </r>
  </si>
  <si>
    <r>
      <rPr>
        <i/>
        <vertAlign val="superscript"/>
        <sz val="7"/>
        <rFont val="Calibri"/>
        <family val="2"/>
      </rPr>
      <t>5</t>
    </r>
    <r>
      <rPr>
        <i/>
        <sz val="7"/>
        <rFont val="Calibri"/>
        <family val="2"/>
      </rPr>
      <t xml:space="preserve">  Includes substandard raisins diverted to other uses.</t>
    </r>
  </si>
  <si>
    <r>
      <rPr>
        <i/>
        <vertAlign val="superscript"/>
        <sz val="7"/>
        <rFont val="Calibri"/>
        <family val="2"/>
      </rPr>
      <t>6</t>
    </r>
    <r>
      <rPr>
        <i/>
        <sz val="7"/>
        <rFont val="Calibri"/>
        <family val="2"/>
      </rPr>
      <t xml:space="preserve">  Processed and fresh fruit price not published to avoid possible disclosure, but included in total utilized.</t>
    </r>
  </si>
  <si>
    <r>
      <rPr>
        <i/>
        <vertAlign val="superscript"/>
        <sz val="7"/>
        <rFont val="Calibri"/>
        <family val="2"/>
      </rPr>
      <t>7</t>
    </r>
    <r>
      <rPr>
        <i/>
        <sz val="7"/>
        <rFont val="Calibri"/>
        <family val="2"/>
      </rPr>
      <t xml:space="preserve">  Quantity and value include dried, but price excludes dried.</t>
    </r>
  </si>
  <si>
    <r>
      <rPr>
        <i/>
        <vertAlign val="superscript"/>
        <sz val="7"/>
        <rFont val="Calibri"/>
        <family val="2"/>
      </rPr>
      <t>8</t>
    </r>
    <r>
      <rPr>
        <i/>
        <sz val="7"/>
        <rFont val="Calibri"/>
        <family val="2"/>
      </rPr>
      <t xml:space="preserve">  Processed mostly canned, but includes small quantities dried and other uses not published separately to avoid possible disclosure.  </t>
    </r>
  </si>
  <si>
    <r>
      <rPr>
        <i/>
        <vertAlign val="superscript"/>
        <sz val="7"/>
        <rFont val="Calibri"/>
        <family val="2"/>
      </rPr>
      <t>9</t>
    </r>
    <r>
      <rPr>
        <i/>
        <sz val="7"/>
        <rFont val="Calibri"/>
        <family val="2"/>
      </rPr>
      <t xml:space="preserve">  Processed mostly juice, but includes small quantities canned and other uses not published separately to avoid possible disclosure.</t>
    </r>
  </si>
  <si>
    <r>
      <t xml:space="preserve">Grapes, Raisin </t>
    </r>
    <r>
      <rPr>
        <b/>
        <vertAlign val="superscript"/>
        <sz val="8"/>
        <color rgb="FF2A6F1F"/>
        <rFont val="Calibri"/>
        <family val="2"/>
      </rPr>
      <t xml:space="preserve">5 </t>
    </r>
  </si>
  <si>
    <r>
      <t xml:space="preserve">Grapes, All </t>
    </r>
    <r>
      <rPr>
        <b/>
        <vertAlign val="superscript"/>
        <sz val="8"/>
        <color rgb="FF2A6F1F"/>
        <rFont val="Calibri"/>
        <family val="2"/>
      </rPr>
      <t>5</t>
    </r>
  </si>
  <si>
    <r>
      <t xml:space="preserve">Kiwifruit </t>
    </r>
    <r>
      <rPr>
        <b/>
        <vertAlign val="superscript"/>
        <sz val="8"/>
        <color rgb="FF2A6F1F"/>
        <rFont val="Calibri"/>
        <family val="2"/>
      </rPr>
      <t>6</t>
    </r>
  </si>
  <si>
    <r>
      <t xml:space="preserve">Peaches, Freestone </t>
    </r>
    <r>
      <rPr>
        <b/>
        <vertAlign val="superscript"/>
        <sz val="8"/>
        <color rgb="FF2A6F1F"/>
        <rFont val="Calibri"/>
        <family val="2"/>
      </rPr>
      <t>7</t>
    </r>
  </si>
  <si>
    <r>
      <t>Peaches, All</t>
    </r>
    <r>
      <rPr>
        <b/>
        <vertAlign val="superscript"/>
        <sz val="8"/>
        <color rgb="FF2A6F1F"/>
        <rFont val="Calibri"/>
        <family val="2"/>
      </rPr>
      <t xml:space="preserve"> 7</t>
    </r>
  </si>
  <si>
    <r>
      <t xml:space="preserve">Pears, Bartlett </t>
    </r>
    <r>
      <rPr>
        <b/>
        <vertAlign val="superscript"/>
        <sz val="8"/>
        <color rgb="FF2A6F1F"/>
        <rFont val="Calibri"/>
        <family val="2"/>
      </rPr>
      <t>8</t>
    </r>
  </si>
  <si>
    <r>
      <t xml:space="preserve">Pears, Other </t>
    </r>
    <r>
      <rPr>
        <b/>
        <vertAlign val="superscript"/>
        <sz val="8"/>
        <color rgb="FF2A6F1F"/>
        <rFont val="Calibri"/>
        <family val="2"/>
      </rPr>
      <t>9</t>
    </r>
  </si>
  <si>
    <r>
      <t>Pears, All</t>
    </r>
    <r>
      <rPr>
        <b/>
        <vertAlign val="superscript"/>
        <sz val="8"/>
        <color rgb="FF2A6F1F"/>
        <rFont val="Calibri"/>
        <family val="2"/>
      </rPr>
      <t xml:space="preserve"> 8, 9</t>
    </r>
  </si>
  <si>
    <r>
      <t xml:space="preserve">Figs </t>
    </r>
    <r>
      <rPr>
        <b/>
        <vertAlign val="superscript"/>
        <sz val="8"/>
        <color rgb="FF2A6F1F"/>
        <rFont val="Calibri"/>
        <family val="2"/>
      </rPr>
      <t>3,4</t>
    </r>
  </si>
  <si>
    <r>
      <t xml:space="preserve">Cherries, Sweet </t>
    </r>
    <r>
      <rPr>
        <b/>
        <vertAlign val="superscript"/>
        <sz val="8"/>
        <color rgb="FF2A6F1F"/>
        <rFont val="Calibri"/>
        <family val="2"/>
      </rPr>
      <t>2</t>
    </r>
  </si>
  <si>
    <t>Marketable 
In-Shell</t>
  </si>
  <si>
    <r>
      <t xml:space="preserve">Non-Bearing </t>
    </r>
    <r>
      <rPr>
        <b/>
        <vertAlign val="superscript"/>
        <sz val="8"/>
        <color rgb="FF2A6F1F"/>
        <rFont val="Calibri"/>
        <family val="2"/>
      </rPr>
      <t>1</t>
    </r>
  </si>
  <si>
    <r>
      <rPr>
        <i/>
        <vertAlign val="superscript"/>
        <sz val="7"/>
        <rFont val="Calibri"/>
        <family val="2"/>
      </rPr>
      <t xml:space="preserve">3    </t>
    </r>
    <r>
      <rPr>
        <i/>
        <sz val="7"/>
        <rFont val="Calibri"/>
        <family val="2"/>
      </rPr>
      <t>Equivalent packinghouse door returns.</t>
    </r>
  </si>
  <si>
    <r>
      <rPr>
        <i/>
        <vertAlign val="superscript"/>
        <sz val="7"/>
        <rFont val="Calibri"/>
        <family val="2"/>
      </rPr>
      <t xml:space="preserve">2    </t>
    </r>
    <r>
      <rPr>
        <i/>
        <sz val="7"/>
        <rFont val="Calibri"/>
        <family val="2"/>
      </rPr>
      <t>Net weight per carton is 40 pounds for all citrus.</t>
    </r>
  </si>
  <si>
    <r>
      <rPr>
        <i/>
        <vertAlign val="superscript"/>
        <sz val="7"/>
        <rFont val="Calibri"/>
        <family val="2"/>
      </rPr>
      <t xml:space="preserve">1    </t>
    </r>
    <r>
      <rPr>
        <i/>
        <sz val="7"/>
        <rFont val="Calibri"/>
        <family val="2"/>
      </rPr>
      <t>Missing data not published to avoid disclosure of individual operations.</t>
    </r>
  </si>
  <si>
    <t>$1,000</t>
  </si>
  <si>
    <r>
      <t xml:space="preserve">Value Per Unit </t>
    </r>
    <r>
      <rPr>
        <b/>
        <vertAlign val="superscript"/>
        <sz val="8"/>
        <color rgb="FF2A6F1F"/>
        <rFont val="Calibri"/>
        <family val="2"/>
      </rPr>
      <t>3</t>
    </r>
  </si>
  <si>
    <r>
      <t xml:space="preserve">Nectarines </t>
    </r>
    <r>
      <rPr>
        <b/>
        <vertAlign val="superscript"/>
        <sz val="8"/>
        <color rgb="FF2A6F1F"/>
        <rFont val="Calibri"/>
        <family val="2"/>
      </rPr>
      <t>3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</si>
  <si>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 Missing data not published to avoid disclosure of individual operations.</t>
    </r>
  </si>
  <si>
    <r>
      <rPr>
        <i/>
        <vertAlign val="superscript"/>
        <sz val="7"/>
        <rFont val="Calibri"/>
        <family val="2"/>
      </rPr>
      <t xml:space="preserve">2     </t>
    </r>
    <r>
      <rPr>
        <i/>
        <sz val="7"/>
        <rFont val="Calibri"/>
        <family val="2"/>
      </rPr>
      <t>Net weight per carton is 40 pounds for all citrus.</t>
    </r>
  </si>
  <si>
    <r>
      <rPr>
        <i/>
        <vertAlign val="superscript"/>
        <sz val="7"/>
        <rFont val="Calibri"/>
        <family val="2"/>
      </rPr>
      <t>4</t>
    </r>
    <r>
      <rPr>
        <i/>
        <sz val="7"/>
        <rFont val="Calibri"/>
        <family val="2"/>
      </rPr>
      <t xml:space="preserve">   Small quantities of processed grapefruit are included in fresh. 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</si>
  <si>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 Equivalent packinghouse door returns.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</si>
</sst>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43" formatCode="_(* #,##0.00_);_(* \(#,##0.00\);_(* &quot;-&quot;??_);_(@_)"/>
    <numFmt numFmtId="164" formatCode="0.0"/>
    <numFmt numFmtId="165" formatCode="0.00_);\(0.00\)"/>
    <numFmt numFmtId="166" formatCode="#,##0.0"/>
    <numFmt numFmtId="167" formatCode="0.00000"/>
    <numFmt numFmtId="168" formatCode="0.0000"/>
    <numFmt numFmtId="169" formatCode="0.000"/>
    <numFmt numFmtId="170" formatCode="_(* #,##0_);_(* \(#,##0\);_(* &quot;-&quot;??_);_(@_)"/>
    <numFmt numFmtId="171" formatCode="0.0%"/>
    <numFmt numFmtId="172" formatCode="#,##0.000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8"/>
      <name val="Calibri"/>
      <family val="2"/>
    </font>
    <font>
      <b/>
      <i/>
      <sz val="8"/>
      <name val="Calibri"/>
      <family val="2"/>
    </font>
    <font>
      <sz val="11"/>
      <name val="Calibri"/>
      <family val="2"/>
    </font>
    <font>
      <sz val="7.5"/>
      <name val="Calibri"/>
      <family val="2"/>
    </font>
    <font>
      <i/>
      <sz val="6.5"/>
      <name val="Calibri"/>
      <family val="2"/>
    </font>
    <font>
      <i/>
      <sz val="7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color rgb="FF2A6F1F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296F1F"/>
      <name val="Calibri"/>
      <family val="2"/>
    </font>
    <font>
      <b/>
      <sz val="8"/>
      <color rgb="FF2A6F1F"/>
      <name val="Calibri"/>
      <family val="2"/>
    </font>
    <font>
      <sz val="7.5"/>
      <name val="Calibri"/>
      <family val="2"/>
      <scheme val="minor"/>
    </font>
    <font>
      <i/>
      <sz val="7.5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.5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</font>
    <font>
      <b/>
      <vertAlign val="superscript"/>
      <sz val="8"/>
      <color rgb="FF296F1F"/>
      <name val="Calibri"/>
      <family val="2"/>
    </font>
    <font>
      <sz val="11"/>
      <color rgb="FF2A6F1F"/>
      <name val="Calibri"/>
      <family val="2"/>
    </font>
    <font>
      <i/>
      <vertAlign val="superscript"/>
      <sz val="7"/>
      <name val="Calibri"/>
      <family val="2"/>
    </font>
    <font>
      <b/>
      <vertAlign val="superscript"/>
      <sz val="10"/>
      <color rgb="FFFFFFFF"/>
      <name val="Calibri"/>
      <family val="2"/>
    </font>
    <font>
      <b/>
      <vertAlign val="superscript"/>
      <sz val="8"/>
      <color rgb="FF2A6F1F"/>
      <name val="Calibri"/>
      <family val="2"/>
    </font>
    <font>
      <vertAlign val="superscript"/>
      <sz val="8"/>
      <name val="Calibri"/>
      <family val="2"/>
    </font>
    <font>
      <i/>
      <sz val="7"/>
      <color theme="1"/>
      <name val="Calibri"/>
      <family val="2"/>
    </font>
    <font>
      <i/>
      <vertAlign val="superscript"/>
      <sz val="7"/>
      <color theme="1"/>
      <name val="Calibri"/>
      <family val="2"/>
    </font>
    <font>
      <b/>
      <sz val="7.5"/>
      <color rgb="FF2A6F1F"/>
      <name val="Calibri"/>
      <family val="2"/>
      <scheme val="minor"/>
    </font>
    <font>
      <b/>
      <vertAlign val="superscript"/>
      <sz val="8"/>
      <color rgb="FF2A6F1F"/>
      <name val="Calibri"/>
      <family val="2"/>
      <scheme val="minor"/>
    </font>
    <font>
      <b/>
      <sz val="11"/>
      <color rgb="FF2A6F1F"/>
      <name val="Calibri"/>
      <family val="2"/>
    </font>
    <font>
      <sz val="8"/>
      <color rgb="FF2A6F1F"/>
      <name val="Calibri"/>
      <family val="2"/>
      <scheme val="minor"/>
    </font>
    <font>
      <sz val="8"/>
      <color rgb="FF2A6F1F"/>
      <name val="Calibri"/>
      <family val="2"/>
    </font>
    <font>
      <b/>
      <vertAlign val="superscript"/>
      <sz val="10"/>
      <color theme="0"/>
      <name val="Calibri"/>
      <family val="2"/>
      <scheme val="minor"/>
    </font>
    <font>
      <i/>
      <sz val="7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vertAlign val="superscript"/>
      <sz val="8"/>
      <name val="Calibri"/>
      <family val="2"/>
    </font>
    <font>
      <i/>
      <sz val="8"/>
      <color theme="1"/>
      <name val="Calibri"/>
      <family val="2"/>
      <scheme val="minor"/>
    </font>
    <font>
      <b/>
      <sz val="10"/>
      <color rgb="FF2A6F1F"/>
      <name val="Calibri"/>
      <family val="2"/>
      <scheme val="minor"/>
    </font>
    <font>
      <i/>
      <vertAlign val="superscript"/>
      <sz val="7"/>
      <name val="Calibri"/>
      <family val="2"/>
      <scheme val="minor"/>
    </font>
    <font>
      <vertAlign val="superscript"/>
      <sz val="8"/>
      <color theme="1"/>
      <name val="Calibri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A6F1F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2A6F1F"/>
      </bottom>
      <diagonal/>
    </border>
    <border>
      <left/>
      <right/>
      <top/>
      <bottom style="medium">
        <color rgb="FF296F1F"/>
      </bottom>
      <diagonal/>
    </border>
    <border>
      <left/>
      <right/>
      <top/>
      <bottom style="thin">
        <color rgb="FF2A6F1F"/>
      </bottom>
      <diagonal/>
    </border>
    <border>
      <left/>
      <right/>
      <top style="medium">
        <color rgb="FF2A6F1F"/>
      </top>
      <bottom/>
      <diagonal/>
    </border>
    <border>
      <left/>
      <right/>
      <top style="medium">
        <color rgb="FF296F1F"/>
      </top>
      <bottom/>
      <diagonal/>
    </border>
    <border>
      <left/>
      <right/>
      <top/>
      <bottom style="medium">
        <color rgb="FF006600"/>
      </bottom>
      <diagonal/>
    </border>
    <border>
      <left/>
      <right/>
      <top style="thin">
        <color rgb="FF2A6F1F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9" fontId="1" fillId="0" borderId="0" applyFont="0" applyFill="0" applyBorder="0" applyAlignment="0" applyProtection="0"/>
    <xf numFmtId="0" fontId="1" fillId="0" borderId="0"/>
  </cellStyleXfs>
  <cellXfs count="592">
    <xf numFmtId="0" fontId="0" fillId="0" borderId="0" xfId="0"/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6" fontId="14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right" indent="1"/>
    </xf>
    <xf numFmtId="2" fontId="13" fillId="0" borderId="0" xfId="0" applyNumberFormat="1" applyFont="1" applyBorder="1" applyAlignment="1">
      <alignment horizontal="right" indent="1"/>
    </xf>
    <xf numFmtId="3" fontId="13" fillId="0" borderId="0" xfId="0" applyNumberFormat="1" applyFont="1" applyBorder="1"/>
    <xf numFmtId="2" fontId="13" fillId="0" borderId="0" xfId="0" quotePrefix="1" applyNumberFormat="1" applyFont="1" applyBorder="1" applyAlignment="1">
      <alignment horizontal="right" indent="1"/>
    </xf>
    <xf numFmtId="4" fontId="13" fillId="0" borderId="0" xfId="0" applyNumberFormat="1" applyFont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/>
    <xf numFmtId="0" fontId="13" fillId="0" borderId="0" xfId="0" applyFont="1" applyBorder="1" applyAlignment="1">
      <alignment horizontal="right"/>
    </xf>
    <xf numFmtId="2" fontId="13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3" fillId="0" borderId="0" xfId="0" quotePrefix="1" applyFont="1" applyBorder="1" applyAlignment="1">
      <alignment horizontal="center"/>
    </xf>
    <xf numFmtId="3" fontId="13" fillId="0" borderId="0" xfId="0" quotePrefix="1" applyNumberFormat="1" applyFont="1" applyBorder="1" applyAlignment="1">
      <alignment horizontal="right" indent="1"/>
    </xf>
    <xf numFmtId="2" fontId="13" fillId="0" borderId="0" xfId="0" quotePrefix="1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3" fontId="13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16" fillId="0" borderId="0" xfId="0" applyFont="1" applyBorder="1"/>
    <xf numFmtId="3" fontId="13" fillId="0" borderId="0" xfId="0" applyNumberFormat="1" applyFont="1" applyBorder="1" applyAlignment="1"/>
    <xf numFmtId="0" fontId="13" fillId="0" borderId="0" xfId="0" applyFont="1" applyBorder="1" applyAlignment="1">
      <alignment horizontal="justify" vertical="top" wrapText="1"/>
    </xf>
    <xf numFmtId="3" fontId="13" fillId="0" borderId="0" xfId="0" quotePrefix="1" applyNumberFormat="1" applyFont="1" applyBorder="1" applyAlignment="1">
      <alignment horizontal="right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indent="2"/>
    </xf>
    <xf numFmtId="0" fontId="14" fillId="0" borderId="0" xfId="0" applyFont="1" applyBorder="1" applyAlignment="1">
      <alignment horizontal="right"/>
    </xf>
    <xf numFmtId="6" fontId="14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left"/>
    </xf>
    <xf numFmtId="3" fontId="13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6" fontId="14" fillId="0" borderId="0" xfId="0" applyNumberFormat="1" applyFont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/>
    <xf numFmtId="0" fontId="13" fillId="0" borderId="0" xfId="0" applyFont="1" applyBorder="1" applyAlignment="1"/>
    <xf numFmtId="3" fontId="13" fillId="0" borderId="0" xfId="0" applyNumberFormat="1" applyFont="1" applyFill="1" applyBorder="1" applyAlignment="1">
      <alignment horizontal="right" indent="1"/>
    </xf>
    <xf numFmtId="3" fontId="13" fillId="0" borderId="0" xfId="0" quotePrefix="1" applyNumberFormat="1" applyFont="1" applyFill="1" applyBorder="1" applyAlignment="1">
      <alignment horizontal="right" indent="1"/>
    </xf>
    <xf numFmtId="3" fontId="13" fillId="0" borderId="0" xfId="0" applyNumberFormat="1" applyFont="1" applyFill="1" applyBorder="1"/>
    <xf numFmtId="9" fontId="13" fillId="0" borderId="0" xfId="5" applyFont="1" applyBorder="1"/>
    <xf numFmtId="0" fontId="16" fillId="0" borderId="0" xfId="0" applyFont="1" applyBorder="1" applyAlignment="1"/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49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 wrapText="1" indent="2"/>
    </xf>
    <xf numFmtId="4" fontId="5" fillId="0" borderId="0" xfId="0" applyNumberFormat="1" applyFont="1" applyAlignment="1">
      <alignment horizontal="right" indent="1"/>
    </xf>
    <xf numFmtId="3" fontId="5" fillId="0" borderId="0" xfId="0" applyNumberFormat="1" applyFont="1" applyAlignment="1">
      <alignment horizontal="right" indent="2"/>
    </xf>
    <xf numFmtId="0" fontId="19" fillId="0" borderId="0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9" fontId="13" fillId="0" borderId="0" xfId="5" applyFont="1" applyBorder="1" applyAlignment="1">
      <alignment wrapText="1"/>
    </xf>
    <xf numFmtId="0" fontId="13" fillId="0" borderId="0" xfId="0" quotePrefix="1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center" wrapText="1"/>
    </xf>
    <xf numFmtId="3" fontId="13" fillId="0" borderId="0" xfId="0" applyNumberFormat="1" applyFont="1" applyBorder="1" applyAlignment="1">
      <alignment horizontal="right" wrapText="1"/>
    </xf>
    <xf numFmtId="3" fontId="13" fillId="0" borderId="0" xfId="0" quotePrefix="1" applyNumberFormat="1" applyFont="1" applyBorder="1" applyAlignment="1">
      <alignment horizontal="right" wrapText="1"/>
    </xf>
    <xf numFmtId="4" fontId="13" fillId="0" borderId="0" xfId="0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3" fontId="13" fillId="0" borderId="0" xfId="0" applyNumberFormat="1" applyFont="1" applyBorder="1" applyAlignment="1">
      <alignment wrapText="1"/>
    </xf>
    <xf numFmtId="2" fontId="13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/>
    <xf numFmtId="3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right" indent="1"/>
    </xf>
    <xf numFmtId="2" fontId="5" fillId="0" borderId="0" xfId="0" applyNumberFormat="1" applyFont="1" applyAlignment="1">
      <alignment horizontal="right" indent="1"/>
    </xf>
    <xf numFmtId="2" fontId="13" fillId="0" borderId="0" xfId="0" applyNumberFormat="1" applyFont="1" applyBorder="1" applyAlignment="1"/>
    <xf numFmtId="0" fontId="24" fillId="0" borderId="0" xfId="0" applyFont="1" applyBorder="1"/>
    <xf numFmtId="3" fontId="24" fillId="0" borderId="0" xfId="0" applyNumberFormat="1" applyFont="1" applyBorder="1" applyAlignment="1">
      <alignment horizontal="right" indent="1"/>
    </xf>
    <xf numFmtId="4" fontId="24" fillId="0" borderId="0" xfId="0" applyNumberFormat="1" applyFont="1" applyBorder="1" applyAlignment="1">
      <alignment horizontal="right" indent="1"/>
    </xf>
    <xf numFmtId="2" fontId="24" fillId="0" borderId="0" xfId="0" applyNumberFormat="1" applyFont="1" applyBorder="1" applyAlignment="1">
      <alignment horizontal="right" indent="1"/>
    </xf>
    <xf numFmtId="0" fontId="25" fillId="0" borderId="0" xfId="0" applyFont="1" applyBorder="1" applyAlignment="1">
      <alignment horizontal="center"/>
    </xf>
    <xf numFmtId="6" fontId="25" fillId="0" borderId="0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17" fillId="0" borderId="0" xfId="0" applyFont="1" applyBorder="1" applyAlignment="1"/>
    <xf numFmtId="0" fontId="10" fillId="0" borderId="0" xfId="0" applyFont="1" applyBorder="1" applyAlignment="1"/>
    <xf numFmtId="0" fontId="3" fillId="0" borderId="0" xfId="0" applyFont="1" applyBorder="1" applyAlignment="1"/>
    <xf numFmtId="0" fontId="5" fillId="0" borderId="0" xfId="0" quotePrefix="1" applyFont="1" applyBorder="1" applyAlignment="1">
      <alignment horizontal="center"/>
    </xf>
    <xf numFmtId="2" fontId="5" fillId="0" borderId="0" xfId="0" applyNumberFormat="1" applyFont="1" applyBorder="1" applyAlignment="1">
      <alignment horizontal="right" indent="1"/>
    </xf>
    <xf numFmtId="0" fontId="5" fillId="0" borderId="0" xfId="0" applyFont="1" applyFill="1" applyAlignment="1">
      <alignment horizontal="center"/>
    </xf>
    <xf numFmtId="0" fontId="24" fillId="0" borderId="0" xfId="0" applyFont="1" applyBorder="1" applyAlignment="1">
      <alignment horizontal="justify" vertical="top" wrapText="1"/>
    </xf>
    <xf numFmtId="0" fontId="5" fillId="0" borderId="0" xfId="0" quotePrefix="1" applyFont="1" applyAlignment="1">
      <alignment horizontal="right" indent="1"/>
    </xf>
    <xf numFmtId="0" fontId="8" fillId="0" borderId="0" xfId="0" applyFont="1"/>
    <xf numFmtId="0" fontId="32" fillId="0" borderId="0" xfId="0" applyFont="1" applyBorder="1" applyAlignment="1">
      <alignment horizontal="center"/>
    </xf>
    <xf numFmtId="0" fontId="32" fillId="0" borderId="0" xfId="0" applyFont="1" applyBorder="1" applyAlignment="1"/>
    <xf numFmtId="0" fontId="5" fillId="0" borderId="0" xfId="0" applyFont="1" applyAlignment="1">
      <alignment horizontal="left" indent="1"/>
    </xf>
    <xf numFmtId="3" fontId="5" fillId="0" borderId="0" xfId="0" quotePrefix="1" applyNumberFormat="1" applyFont="1" applyAlignment="1">
      <alignment horizontal="right" indent="1"/>
    </xf>
    <xf numFmtId="0" fontId="13" fillId="0" borderId="0" xfId="0" applyFont="1" applyBorder="1" applyAlignment="1">
      <alignment vertical="center"/>
    </xf>
    <xf numFmtId="0" fontId="35" fillId="0" borderId="0" xfId="0" applyFont="1"/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35" fillId="0" borderId="3" xfId="0" applyFont="1" applyBorder="1"/>
    <xf numFmtId="49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>
      <alignment horizontal="right"/>
    </xf>
    <xf numFmtId="2" fontId="30" fillId="0" borderId="1" xfId="0" applyNumberFormat="1" applyFont="1" applyBorder="1" applyAlignment="1">
      <alignment horizontal="right" indent="1"/>
    </xf>
    <xf numFmtId="0" fontId="21" fillId="0" borderId="0" xfId="0" applyFont="1" applyAlignment="1">
      <alignment horizontal="left" indent="1"/>
    </xf>
    <xf numFmtId="0" fontId="44" fillId="0" borderId="0" xfId="0" applyFont="1" applyAlignment="1">
      <alignment horizontal="right"/>
    </xf>
    <xf numFmtId="0" fontId="45" fillId="0" borderId="0" xfId="0" applyFont="1" applyBorder="1" applyAlignment="1">
      <alignment horizontal="left" indent="1"/>
    </xf>
    <xf numFmtId="0" fontId="45" fillId="0" borderId="0" xfId="0" applyFont="1" applyBorder="1" applyAlignment="1"/>
    <xf numFmtId="0" fontId="35" fillId="0" borderId="2" xfId="0" applyFont="1" applyBorder="1"/>
    <xf numFmtId="0" fontId="45" fillId="0" borderId="0" xfId="0" applyFont="1" applyBorder="1"/>
    <xf numFmtId="0" fontId="5" fillId="0" borderId="0" xfId="0" applyFont="1" applyAlignment="1">
      <alignment horizontal="right" indent="2"/>
    </xf>
    <xf numFmtId="2" fontId="5" fillId="0" borderId="0" xfId="0" applyNumberFormat="1" applyFont="1" applyAlignment="1">
      <alignment horizontal="right" indent="2"/>
    </xf>
    <xf numFmtId="0" fontId="8" fillId="0" borderId="0" xfId="0" applyFont="1" applyAlignment="1">
      <alignment horizontal="right" indent="1"/>
    </xf>
    <xf numFmtId="3" fontId="5" fillId="0" borderId="0" xfId="0" applyNumberFormat="1" applyFont="1" applyAlignment="1">
      <alignment horizontal="right" vertical="center" indent="2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45" fillId="0" borderId="3" xfId="0" applyFont="1" applyBorder="1" applyAlignment="1">
      <alignment horizontal="left" indent="1"/>
    </xf>
    <xf numFmtId="0" fontId="0" fillId="0" borderId="0" xfId="0" applyAlignment="1">
      <alignment vertical="center"/>
    </xf>
    <xf numFmtId="0" fontId="46" fillId="0" borderId="0" xfId="0" applyFont="1" applyAlignment="1">
      <alignment horizontal="left" indent="1"/>
    </xf>
    <xf numFmtId="0" fontId="46" fillId="0" borderId="0" xfId="0" applyFont="1"/>
    <xf numFmtId="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13" fillId="0" borderId="1" xfId="0" applyFont="1" applyBorder="1"/>
    <xf numFmtId="0" fontId="0" fillId="0" borderId="1" xfId="0" applyBorder="1"/>
    <xf numFmtId="0" fontId="32" fillId="0" borderId="0" xfId="0" applyFont="1" applyBorder="1" applyAlignment="1">
      <alignment horizontal="left" indent="1"/>
    </xf>
    <xf numFmtId="0" fontId="26" fillId="0" borderId="0" xfId="0" applyFont="1" applyAlignment="1">
      <alignment horizontal="left" indent="1"/>
    </xf>
    <xf numFmtId="0" fontId="32" fillId="0" borderId="3" xfId="0" applyFont="1" applyBorder="1" applyAlignment="1">
      <alignment horizontal="left" indent="1"/>
    </xf>
    <xf numFmtId="0" fontId="32" fillId="0" borderId="1" xfId="0" applyFont="1" applyBorder="1" applyAlignment="1">
      <alignment horizontal="left" indent="1"/>
    </xf>
    <xf numFmtId="0" fontId="48" fillId="0" borderId="0" xfId="0" applyFont="1" applyBorder="1" applyAlignment="1">
      <alignment horizontal="left" indent="1"/>
    </xf>
    <xf numFmtId="0" fontId="5" fillId="0" borderId="0" xfId="0" applyFont="1"/>
    <xf numFmtId="0" fontId="21" fillId="0" borderId="0" xfId="0" applyFont="1" applyAlignment="1">
      <alignment horizontal="left" vertical="center" indent="1"/>
    </xf>
    <xf numFmtId="2" fontId="5" fillId="0" borderId="0" xfId="0" applyNumberFormat="1" applyFont="1" applyAlignment="1">
      <alignment horizontal="right" vertical="center" indent="2"/>
    </xf>
    <xf numFmtId="0" fontId="5" fillId="0" borderId="0" xfId="0" applyFont="1" applyAlignment="1">
      <alignment horizontal="left" vertical="center" indent="1"/>
    </xf>
    <xf numFmtId="3" fontId="26" fillId="0" borderId="0" xfId="0" applyNumberFormat="1" applyFont="1" applyAlignment="1">
      <alignment horizontal="right" vertical="center" indent="2"/>
    </xf>
    <xf numFmtId="2" fontId="26" fillId="0" borderId="0" xfId="0" applyNumberFormat="1" applyFont="1" applyAlignment="1">
      <alignment horizontal="right" vertical="center" indent="2"/>
    </xf>
    <xf numFmtId="0" fontId="5" fillId="0" borderId="0" xfId="0" applyFont="1" applyAlignment="1">
      <alignment horizontal="right" vertical="center" indent="2"/>
    </xf>
    <xf numFmtId="0" fontId="46" fillId="0" borderId="0" xfId="0" applyFont="1" applyAlignment="1">
      <alignment horizontal="left" vertical="center" indent="1"/>
    </xf>
    <xf numFmtId="16" fontId="5" fillId="0" borderId="0" xfId="0" quotePrefix="1" applyNumberFormat="1" applyFont="1" applyAlignment="1">
      <alignment horizontal="center"/>
    </xf>
    <xf numFmtId="16" fontId="26" fillId="0" borderId="0" xfId="0" quotePrefix="1" applyNumberFormat="1" applyFont="1" applyAlignment="1">
      <alignment horizontal="center"/>
    </xf>
    <xf numFmtId="3" fontId="26" fillId="0" borderId="0" xfId="0" applyNumberFormat="1" applyFont="1" applyAlignment="1">
      <alignment horizontal="right" indent="1"/>
    </xf>
    <xf numFmtId="0" fontId="26" fillId="0" borderId="0" xfId="0" applyFont="1" applyAlignment="1">
      <alignment horizontal="right" indent="2"/>
    </xf>
    <xf numFmtId="2" fontId="26" fillId="0" borderId="0" xfId="0" applyNumberFormat="1" applyFont="1" applyAlignment="1">
      <alignment horizontal="right" indent="2"/>
    </xf>
    <xf numFmtId="0" fontId="26" fillId="0" borderId="0" xfId="0" applyFont="1"/>
    <xf numFmtId="3" fontId="26" fillId="0" borderId="0" xfId="0" applyNumberFormat="1" applyFont="1" applyAlignment="1">
      <alignment horizontal="right" indent="2"/>
    </xf>
    <xf numFmtId="0" fontId="46" fillId="0" borderId="0" xfId="0" applyFont="1" applyBorder="1"/>
    <xf numFmtId="0" fontId="5" fillId="0" borderId="0" xfId="0" applyFont="1" applyBorder="1"/>
    <xf numFmtId="0" fontId="21" fillId="0" borderId="0" xfId="0" applyFont="1" applyBorder="1" applyAlignment="1">
      <alignment horizontal="left" indent="1"/>
    </xf>
    <xf numFmtId="2" fontId="26" fillId="0" borderId="0" xfId="0" applyNumberFormat="1" applyFont="1" applyAlignment="1">
      <alignment horizontal="right"/>
    </xf>
    <xf numFmtId="2" fontId="26" fillId="0" borderId="0" xfId="0" applyNumberFormat="1" applyFont="1"/>
    <xf numFmtId="165" fontId="32" fillId="0" borderId="0" xfId="0" applyNumberFormat="1" applyFont="1" applyBorder="1" applyAlignment="1">
      <alignment horizontal="right" wrapText="1"/>
    </xf>
    <xf numFmtId="165" fontId="32" fillId="0" borderId="0" xfId="0" applyNumberFormat="1" applyFont="1" applyBorder="1" applyAlignment="1">
      <alignment horizontal="right"/>
    </xf>
    <xf numFmtId="49" fontId="26" fillId="0" borderId="0" xfId="0" applyNumberFormat="1" applyFont="1" applyAlignment="1">
      <alignment horizontal="center"/>
    </xf>
    <xf numFmtId="0" fontId="32" fillId="0" borderId="0" xfId="0" quotePrefix="1" applyFont="1" applyBorder="1" applyAlignment="1">
      <alignment horizontal="center"/>
    </xf>
    <xf numFmtId="0" fontId="18" fillId="0" borderId="0" xfId="0" applyFont="1" applyBorder="1" applyAlignment="1">
      <alignment horizontal="left" indent="1"/>
    </xf>
    <xf numFmtId="0" fontId="42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vertical="center" indent="1"/>
    </xf>
    <xf numFmtId="4" fontId="5" fillId="0" borderId="0" xfId="0" quotePrefix="1" applyNumberFormat="1" applyFont="1" applyAlignment="1">
      <alignment horizontal="right" indent="1"/>
    </xf>
    <xf numFmtId="4" fontId="5" fillId="0" borderId="0" xfId="1" applyNumberFormat="1" applyFont="1" applyAlignment="1">
      <alignment horizontal="right" indent="1"/>
    </xf>
    <xf numFmtId="0" fontId="17" fillId="0" borderId="0" xfId="0" applyFont="1" applyBorder="1" applyAlignment="1">
      <alignment horizontal="left" vertical="center" indent="1"/>
    </xf>
    <xf numFmtId="3" fontId="13" fillId="0" borderId="0" xfId="0" applyNumberFormat="1" applyFont="1" applyBorder="1" applyAlignment="1">
      <alignment horizontal="left" vertical="center" indent="1"/>
    </xf>
    <xf numFmtId="4" fontId="13" fillId="0" borderId="0" xfId="0" applyNumberFormat="1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 indent="1"/>
    </xf>
    <xf numFmtId="0" fontId="5" fillId="0" borderId="0" xfId="0" applyFont="1" applyAlignment="1">
      <alignment horizontal="right" vertical="center" wrapText="1" indent="1"/>
    </xf>
    <xf numFmtId="3" fontId="5" fillId="0" borderId="0" xfId="0" applyNumberFormat="1" applyFont="1" applyFill="1" applyAlignment="1">
      <alignment horizontal="right" vertical="center" wrapText="1" indent="1"/>
    </xf>
    <xf numFmtId="0" fontId="5" fillId="0" borderId="0" xfId="0" applyFont="1" applyFill="1" applyAlignment="1">
      <alignment horizontal="right" vertical="center" wrapText="1" indent="1"/>
    </xf>
    <xf numFmtId="2" fontId="5" fillId="0" borderId="0" xfId="0" applyNumberFormat="1" applyFont="1" applyFill="1" applyAlignment="1">
      <alignment horizontal="right" vertical="center" wrapText="1" indent="1"/>
    </xf>
    <xf numFmtId="2" fontId="5" fillId="0" borderId="0" xfId="0" applyNumberFormat="1" applyFont="1" applyAlignment="1">
      <alignment horizontal="right" vertical="center" wrapText="1" indent="1"/>
    </xf>
    <xf numFmtId="4" fontId="5" fillId="0" borderId="0" xfId="0" applyNumberFormat="1" applyFont="1" applyAlignment="1">
      <alignment horizontal="right" vertical="center" wrapText="1" indent="1"/>
    </xf>
    <xf numFmtId="0" fontId="46" fillId="0" borderId="0" xfId="0" applyFont="1" applyBorder="1" applyAlignment="1">
      <alignment horizontal="left" vertical="center" indent="1"/>
    </xf>
    <xf numFmtId="0" fontId="21" fillId="0" borderId="3" xfId="0" applyFont="1" applyBorder="1" applyAlignment="1">
      <alignment horizontal="left" vertical="center" indent="1"/>
    </xf>
    <xf numFmtId="0" fontId="35" fillId="0" borderId="0" xfId="0" applyFont="1" applyBorder="1"/>
    <xf numFmtId="0" fontId="7" fillId="0" borderId="0" xfId="0" applyFont="1" applyAlignment="1"/>
    <xf numFmtId="0" fontId="7" fillId="0" borderId="0" xfId="0" applyFont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/>
    <xf numFmtId="0" fontId="5" fillId="0" borderId="0" xfId="0" applyFont="1"/>
    <xf numFmtId="0" fontId="49" fillId="0" borderId="0" xfId="0" applyFont="1" applyBorder="1" applyAlignment="1">
      <alignment horizontal="left" indent="1"/>
    </xf>
    <xf numFmtId="167" fontId="13" fillId="0" borderId="0" xfId="0" applyNumberFormat="1" applyFont="1" applyBorder="1"/>
    <xf numFmtId="3" fontId="0" fillId="0" borderId="0" xfId="0" applyNumberFormat="1"/>
    <xf numFmtId="1" fontId="13" fillId="0" borderId="0" xfId="0" applyNumberFormat="1" applyFont="1" applyBorder="1" applyAlignment="1"/>
    <xf numFmtId="168" fontId="13" fillId="0" borderId="0" xfId="0" applyNumberFormat="1" applyFont="1" applyBorder="1" applyAlignment="1"/>
    <xf numFmtId="169" fontId="13" fillId="0" borderId="0" xfId="0" applyNumberFormat="1" applyFont="1" applyBorder="1" applyAlignment="1"/>
    <xf numFmtId="2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vertical="center" wrapText="1"/>
    </xf>
    <xf numFmtId="0" fontId="26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 indent="2"/>
    </xf>
    <xf numFmtId="4" fontId="5" fillId="0" borderId="0" xfId="0" applyNumberFormat="1" applyFont="1" applyFill="1" applyAlignment="1">
      <alignment horizontal="right" vertical="center" indent="2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indent="2"/>
    </xf>
    <xf numFmtId="2" fontId="13" fillId="0" borderId="0" xfId="0" applyNumberFormat="1" applyFont="1" applyFill="1" applyBorder="1" applyAlignment="1">
      <alignment horizontal="right" vertical="center" indent="2"/>
    </xf>
    <xf numFmtId="0" fontId="5" fillId="0" borderId="0" xfId="0" applyFont="1" applyFill="1" applyAlignment="1">
      <alignment horizontal="right" vertical="center" indent="2"/>
    </xf>
    <xf numFmtId="2" fontId="5" fillId="0" borderId="0" xfId="0" applyNumberFormat="1" applyFont="1" applyFill="1" applyAlignment="1">
      <alignment horizontal="right" vertical="center" indent="2"/>
    </xf>
    <xf numFmtId="0" fontId="13" fillId="0" borderId="0" xfId="0" applyFont="1" applyFill="1" applyBorder="1" applyAlignment="1">
      <alignment horizontal="center"/>
    </xf>
    <xf numFmtId="0" fontId="26" fillId="0" borderId="0" xfId="0" applyFont="1" applyFill="1" applyAlignment="1">
      <alignment horizontal="right" vertical="center" indent="2"/>
    </xf>
    <xf numFmtId="0" fontId="5" fillId="0" borderId="0" xfId="0" quotePrefix="1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0" fontId="8" fillId="0" borderId="0" xfId="0" applyFont="1" applyFill="1" applyAlignment="1">
      <alignment horizontal="right" indent="1"/>
    </xf>
    <xf numFmtId="0" fontId="7" fillId="0" borderId="0" xfId="0" applyFont="1" applyFill="1" applyAlignment="1">
      <alignment horizontal="right" indent="1"/>
    </xf>
    <xf numFmtId="1" fontId="5" fillId="0" borderId="0" xfId="1" quotePrefix="1" applyNumberFormat="1" applyFont="1" applyFill="1" applyAlignment="1">
      <alignment horizontal="right" indent="1"/>
    </xf>
    <xf numFmtId="3" fontId="5" fillId="0" borderId="0" xfId="0" quotePrefix="1" applyNumberFormat="1" applyFont="1" applyFill="1" applyAlignment="1">
      <alignment horizontal="right" indent="1"/>
    </xf>
    <xf numFmtId="0" fontId="5" fillId="0" borderId="0" xfId="0" applyFont="1" applyFill="1" applyAlignment="1">
      <alignment horizontal="right" indent="1"/>
    </xf>
    <xf numFmtId="3" fontId="5" fillId="0" borderId="6" xfId="0" quotePrefix="1" applyNumberFormat="1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right" vertical="center" wrapText="1" indent="1"/>
    </xf>
    <xf numFmtId="3" fontId="5" fillId="0" borderId="0" xfId="0" applyNumberFormat="1" applyFont="1" applyFill="1" applyAlignment="1">
      <alignment horizontal="right" indent="1"/>
    </xf>
    <xf numFmtId="0" fontId="5" fillId="0" borderId="0" xfId="0" applyFont="1" applyFill="1" applyAlignment="1">
      <alignment horizontal="right" indent="2"/>
    </xf>
    <xf numFmtId="3" fontId="5" fillId="0" borderId="0" xfId="0" applyNumberFormat="1" applyFont="1" applyFill="1" applyAlignment="1">
      <alignment horizontal="right" indent="2"/>
    </xf>
    <xf numFmtId="2" fontId="5" fillId="0" borderId="0" xfId="0" applyNumberFormat="1" applyFont="1" applyFill="1" applyAlignment="1">
      <alignment horizontal="right" indent="2"/>
    </xf>
    <xf numFmtId="4" fontId="5" fillId="0" borderId="0" xfId="0" applyNumberFormat="1" applyFont="1" applyFill="1" applyAlignment="1">
      <alignment horizontal="right" indent="1"/>
    </xf>
    <xf numFmtId="2" fontId="5" fillId="0" borderId="0" xfId="0" applyNumberFormat="1" applyFont="1" applyFill="1" applyAlignment="1">
      <alignment horizontal="right" indent="1"/>
    </xf>
    <xf numFmtId="3" fontId="5" fillId="0" borderId="0" xfId="0" applyNumberFormat="1" applyFont="1" applyFill="1" applyAlignment="1">
      <alignment horizontal="right" wrapText="1" indent="2"/>
    </xf>
    <xf numFmtId="4" fontId="5" fillId="0" borderId="0" xfId="0" applyNumberFormat="1" applyFont="1" applyAlignment="1">
      <alignment horizontal="right" indent="2"/>
    </xf>
    <xf numFmtId="49" fontId="5" fillId="0" borderId="0" xfId="0" applyNumberFormat="1" applyFont="1" applyFill="1" applyAlignment="1">
      <alignment horizontal="center"/>
    </xf>
    <xf numFmtId="2" fontId="13" fillId="0" borderId="0" xfId="0" applyNumberFormat="1" applyFont="1" applyFill="1" applyBorder="1" applyAlignment="1">
      <alignment horizontal="right" indent="2"/>
    </xf>
    <xf numFmtId="3" fontId="5" fillId="0" borderId="3" xfId="0" applyNumberFormat="1" applyFont="1" applyFill="1" applyBorder="1" applyAlignment="1">
      <alignment horizontal="right" indent="1"/>
    </xf>
    <xf numFmtId="4" fontId="5" fillId="0" borderId="3" xfId="0" applyNumberFormat="1" applyFont="1" applyFill="1" applyBorder="1" applyAlignment="1">
      <alignment horizontal="right" indent="1"/>
    </xf>
    <xf numFmtId="0" fontId="5" fillId="0" borderId="3" xfId="0" applyFont="1" applyFill="1" applyBorder="1" applyAlignment="1">
      <alignment horizontal="right" indent="1"/>
    </xf>
    <xf numFmtId="4" fontId="13" fillId="0" borderId="0" xfId="0" applyNumberFormat="1" applyFont="1" applyFill="1" applyBorder="1" applyAlignment="1">
      <alignment horizontal="right" indent="1"/>
    </xf>
    <xf numFmtId="4" fontId="5" fillId="0" borderId="0" xfId="0" quotePrefix="1" applyNumberFormat="1" applyFont="1" applyFill="1" applyAlignment="1">
      <alignment horizontal="right" indent="1"/>
    </xf>
    <xf numFmtId="4" fontId="5" fillId="0" borderId="0" xfId="1" applyNumberFormat="1" applyFont="1" applyFill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2" fontId="5" fillId="0" borderId="0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right" indent="1"/>
    </xf>
    <xf numFmtId="16" fontId="26" fillId="0" borderId="0" xfId="0" quotePrefix="1" applyNumberFormat="1" applyFont="1" applyFill="1" applyAlignment="1">
      <alignment horizontal="center"/>
    </xf>
    <xf numFmtId="3" fontId="26" fillId="0" borderId="0" xfId="0" applyNumberFormat="1" applyFont="1" applyFill="1" applyAlignment="1">
      <alignment horizontal="right" indent="2"/>
    </xf>
    <xf numFmtId="2" fontId="26" fillId="0" borderId="0" xfId="0" applyNumberFormat="1" applyFont="1" applyFill="1" applyAlignment="1">
      <alignment horizontal="right" indent="2"/>
    </xf>
    <xf numFmtId="16" fontId="5" fillId="0" borderId="0" xfId="0" quotePrefix="1" applyNumberFormat="1" applyFont="1" applyFill="1" applyAlignment="1">
      <alignment horizontal="center"/>
    </xf>
    <xf numFmtId="0" fontId="21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5" fillId="0" borderId="0" xfId="0" applyFont="1" applyFill="1"/>
    <xf numFmtId="0" fontId="26" fillId="0" borderId="0" xfId="0" applyFont="1" applyFill="1" applyAlignment="1">
      <alignment horizontal="right" indent="2"/>
    </xf>
    <xf numFmtId="0" fontId="9" fillId="0" borderId="1" xfId="0" applyFont="1" applyFill="1" applyBorder="1"/>
    <xf numFmtId="16" fontId="9" fillId="0" borderId="1" xfId="0" quotePrefix="1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right" indent="1"/>
    </xf>
    <xf numFmtId="2" fontId="9" fillId="0" borderId="1" xfId="0" applyNumberFormat="1" applyFont="1" applyFill="1" applyBorder="1" applyAlignment="1">
      <alignment horizontal="right" indent="1"/>
    </xf>
    <xf numFmtId="0" fontId="9" fillId="0" borderId="1" xfId="0" applyFont="1" applyFill="1" applyBorder="1" applyAlignment="1">
      <alignment horizontal="right" indent="1"/>
    </xf>
    <xf numFmtId="0" fontId="5" fillId="0" borderId="0" xfId="0" quotePrefix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/>
    <xf numFmtId="3" fontId="26" fillId="0" borderId="0" xfId="0" applyNumberFormat="1" applyFont="1" applyFill="1" applyAlignment="1">
      <alignment horizontal="right" indent="1"/>
    </xf>
    <xf numFmtId="0" fontId="32" fillId="0" borderId="0" xfId="0" quotePrefix="1" applyFont="1" applyFill="1" applyBorder="1" applyAlignment="1">
      <alignment horizontal="center"/>
    </xf>
    <xf numFmtId="2" fontId="26" fillId="0" borderId="0" xfId="0" applyNumberFormat="1" applyFont="1" applyFill="1" applyAlignment="1">
      <alignment horizontal="right"/>
    </xf>
    <xf numFmtId="49" fontId="26" fillId="0" borderId="0" xfId="0" applyNumberFormat="1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2" fontId="26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32" fillId="0" borderId="0" xfId="0" applyFont="1" applyFill="1" applyBorder="1" applyAlignment="1"/>
    <xf numFmtId="0" fontId="26" fillId="0" borderId="0" xfId="0" applyFont="1" applyFill="1" applyAlignment="1">
      <alignment horizontal="left" indent="1"/>
    </xf>
    <xf numFmtId="2" fontId="13" fillId="0" borderId="0" xfId="0" applyNumberFormat="1" applyFont="1" applyFill="1" applyBorder="1" applyAlignment="1"/>
    <xf numFmtId="171" fontId="13" fillId="0" borderId="0" xfId="5" applyNumberFormat="1" applyFont="1" applyBorder="1"/>
    <xf numFmtId="172" fontId="13" fillId="0" borderId="0" xfId="0" applyNumberFormat="1" applyFont="1" applyBorder="1" applyAlignment="1"/>
    <xf numFmtId="170" fontId="13" fillId="0" borderId="0" xfId="1" applyNumberFormat="1" applyFont="1" applyFill="1" applyBorder="1"/>
    <xf numFmtId="2" fontId="13" fillId="0" borderId="0" xfId="0" applyNumberFormat="1" applyFont="1" applyFill="1" applyBorder="1" applyAlignment="1">
      <alignment horizontal="right"/>
    </xf>
    <xf numFmtId="0" fontId="1" fillId="0" borderId="0" xfId="6"/>
    <xf numFmtId="3" fontId="5" fillId="0" borderId="0" xfId="0" applyNumberFormat="1" applyFont="1" applyAlignment="1">
      <alignment horizontal="right" vertical="center" indent="1"/>
    </xf>
    <xf numFmtId="3" fontId="26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right" vertical="center" indent="1"/>
    </xf>
    <xf numFmtId="3" fontId="5" fillId="0" borderId="0" xfId="0" applyNumberFormat="1" applyFont="1" applyFill="1" applyAlignment="1">
      <alignment horizontal="right" vertical="center" indent="1"/>
    </xf>
    <xf numFmtId="0" fontId="5" fillId="0" borderId="0" xfId="0" applyFont="1" applyFill="1" applyAlignment="1">
      <alignment horizontal="right" vertical="center" indent="1"/>
    </xf>
    <xf numFmtId="0" fontId="26" fillId="0" borderId="0" xfId="0" applyFont="1" applyFill="1" applyAlignment="1">
      <alignment horizontal="right" vertical="center" indent="1"/>
    </xf>
    <xf numFmtId="164" fontId="5" fillId="0" borderId="0" xfId="0" applyNumberFormat="1" applyFont="1" applyAlignment="1">
      <alignment horizontal="right" vertical="center" indent="2"/>
    </xf>
    <xf numFmtId="164" fontId="26" fillId="0" borderId="0" xfId="0" applyNumberFormat="1" applyFont="1" applyAlignment="1">
      <alignment horizontal="right" vertical="center" indent="2"/>
    </xf>
    <xf numFmtId="166" fontId="5" fillId="0" borderId="0" xfId="0" applyNumberFormat="1" applyFont="1" applyFill="1" applyAlignment="1">
      <alignment horizontal="right" vertical="center" indent="2"/>
    </xf>
    <xf numFmtId="0" fontId="13" fillId="0" borderId="0" xfId="0" applyFont="1" applyFill="1" applyBorder="1" applyAlignment="1">
      <alignment horizontal="right"/>
    </xf>
    <xf numFmtId="3" fontId="24" fillId="0" borderId="0" xfId="0" applyNumberFormat="1" applyFont="1" applyBorder="1"/>
    <xf numFmtId="3" fontId="25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4" fontId="8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center" vertical="center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>
      <alignment horizontal="justify" vertical="top" wrapText="1"/>
    </xf>
    <xf numFmtId="4" fontId="14" fillId="0" borderId="0" xfId="0" applyNumberFormat="1" applyFont="1" applyBorder="1" applyAlignment="1">
      <alignment horizontal="center" wrapText="1"/>
    </xf>
    <xf numFmtId="3" fontId="6" fillId="0" borderId="0" xfId="0" applyNumberFormat="1" applyFont="1" applyAlignment="1">
      <alignment horizontal="right" vertical="center" wrapText="1" indent="1"/>
    </xf>
    <xf numFmtId="3" fontId="6" fillId="0" borderId="0" xfId="0" applyNumberFormat="1" applyFont="1" applyAlignment="1">
      <alignment vertical="center" wrapText="1"/>
    </xf>
    <xf numFmtId="3" fontId="7" fillId="0" borderId="0" xfId="0" applyNumberFormat="1" applyFont="1" applyBorder="1" applyAlignment="1">
      <alignment horizontal="center" vertical="center"/>
    </xf>
    <xf numFmtId="3" fontId="26" fillId="0" borderId="0" xfId="0" applyNumberFormat="1" applyFont="1"/>
    <xf numFmtId="3" fontId="26" fillId="0" borderId="0" xfId="0" applyNumberFormat="1" applyFont="1" applyFill="1"/>
    <xf numFmtId="3" fontId="5" fillId="0" borderId="0" xfId="0" applyNumberFormat="1" applyFont="1" applyBorder="1"/>
    <xf numFmtId="3" fontId="13" fillId="0" borderId="0" xfId="0" applyNumberFormat="1" applyFont="1" applyFill="1" applyBorder="1" applyAlignment="1"/>
    <xf numFmtId="0" fontId="11" fillId="0" borderId="0" xfId="0" applyFont="1" applyAlignment="1">
      <alignment horizontal="left" indent="1"/>
    </xf>
    <xf numFmtId="0" fontId="5" fillId="0" borderId="0" xfId="0" applyFont="1"/>
    <xf numFmtId="0" fontId="11" fillId="0" borderId="5" xfId="0" applyFont="1" applyBorder="1" applyAlignment="1">
      <alignment horizontal="left" indent="1"/>
    </xf>
    <xf numFmtId="0" fontId="11" fillId="0" borderId="0" xfId="0" applyFont="1" applyAlignment="1">
      <alignment horizontal="left" wrapText="1" indent="1"/>
    </xf>
    <xf numFmtId="0" fontId="13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indent="1"/>
    </xf>
    <xf numFmtId="4" fontId="5" fillId="0" borderId="1" xfId="1" applyNumberFormat="1" applyFont="1" applyFill="1" applyBorder="1" applyAlignment="1">
      <alignment horizontal="right" indent="1"/>
    </xf>
    <xf numFmtId="4" fontId="5" fillId="0" borderId="1" xfId="0" applyNumberFormat="1" applyFont="1" applyFill="1" applyBorder="1" applyAlignment="1">
      <alignment horizontal="right" indent="1"/>
    </xf>
    <xf numFmtId="0" fontId="26" fillId="0" borderId="0" xfId="0" applyFont="1" applyFill="1" applyBorder="1" applyAlignment="1">
      <alignment horizontal="center" vertical="center"/>
    </xf>
    <xf numFmtId="9" fontId="13" fillId="0" borderId="0" xfId="5" applyFont="1" applyBorder="1" applyAlignment="1"/>
    <xf numFmtId="9" fontId="13" fillId="0" borderId="0" xfId="5" applyFont="1" applyBorder="1" applyAlignment="1">
      <alignment vertical="center" wrapText="1"/>
    </xf>
    <xf numFmtId="16" fontId="5" fillId="0" borderId="0" xfId="0" quotePrefix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indent="2"/>
    </xf>
    <xf numFmtId="0" fontId="26" fillId="0" borderId="0" xfId="0" applyFont="1" applyBorder="1" applyAlignment="1">
      <alignment horizontal="left" indent="1"/>
    </xf>
    <xf numFmtId="49" fontId="26" fillId="0" borderId="0" xfId="0" applyNumberFormat="1" applyFont="1" applyFill="1" applyBorder="1" applyAlignment="1">
      <alignment horizontal="center"/>
    </xf>
    <xf numFmtId="2" fontId="13" fillId="0" borderId="0" xfId="0" applyNumberFormat="1" applyFont="1" applyBorder="1"/>
    <xf numFmtId="2" fontId="26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39" fontId="13" fillId="0" borderId="0" xfId="1" applyNumberFormat="1" applyFont="1" applyBorder="1"/>
    <xf numFmtId="0" fontId="11" fillId="0" borderId="4" xfId="0" applyFont="1" applyBorder="1" applyAlignment="1">
      <alignment horizontal="left" indent="1"/>
    </xf>
    <xf numFmtId="0" fontId="32" fillId="0" borderId="3" xfId="0" applyFont="1" applyBorder="1" applyAlignment="1"/>
    <xf numFmtId="0" fontId="13" fillId="0" borderId="3" xfId="0" applyFont="1" applyBorder="1"/>
    <xf numFmtId="2" fontId="5" fillId="0" borderId="0" xfId="0" applyNumberFormat="1" applyFont="1" applyAlignment="1">
      <alignment horizontal="center"/>
    </xf>
    <xf numFmtId="2" fontId="26" fillId="0" borderId="0" xfId="0" applyNumberFormat="1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right" indent="2"/>
    </xf>
    <xf numFmtId="0" fontId="32" fillId="0" borderId="3" xfId="0" applyFont="1" applyBorder="1" applyAlignment="1">
      <alignment horizontal="center"/>
    </xf>
    <xf numFmtId="0" fontId="32" fillId="0" borderId="3" xfId="0" applyFont="1" applyFill="1" applyBorder="1" applyAlignment="1"/>
    <xf numFmtId="0" fontId="13" fillId="0" borderId="3" xfId="0" applyFont="1" applyFill="1" applyBorder="1" applyAlignment="1"/>
    <xf numFmtId="0" fontId="32" fillId="0" borderId="3" xfId="0" applyFont="1" applyFill="1" applyBorder="1" applyAlignment="1">
      <alignment horizontal="left" indent="1"/>
    </xf>
    <xf numFmtId="0" fontId="32" fillId="0" borderId="3" xfId="0" applyFont="1" applyFill="1" applyBorder="1" applyAlignment="1">
      <alignment horizontal="center"/>
    </xf>
    <xf numFmtId="3" fontId="13" fillId="0" borderId="0" xfId="0" applyNumberFormat="1" applyFont="1" applyBorder="1" applyAlignment="1">
      <alignment horizontal="right" vertical="center" indent="2"/>
    </xf>
    <xf numFmtId="3" fontId="13" fillId="0" borderId="0" xfId="0" applyNumberFormat="1" applyFont="1" applyFill="1" applyBorder="1" applyAlignment="1">
      <alignment horizontal="right" vertical="center" indent="2"/>
    </xf>
    <xf numFmtId="3" fontId="13" fillId="0" borderId="3" xfId="0" applyNumberFormat="1" applyFont="1" applyFill="1" applyBorder="1" applyAlignment="1">
      <alignment horizontal="right" vertical="center" indent="2"/>
    </xf>
    <xf numFmtId="4" fontId="13" fillId="0" borderId="0" xfId="0" applyNumberFormat="1" applyFont="1" applyFill="1" applyBorder="1" applyAlignment="1">
      <alignment horizontal="right" vertical="center" indent="2"/>
    </xf>
    <xf numFmtId="3" fontId="13" fillId="0" borderId="0" xfId="0" applyNumberFormat="1" applyFont="1" applyFill="1" applyBorder="1" applyAlignment="1">
      <alignment horizontal="right" vertical="center" indent="1"/>
    </xf>
    <xf numFmtId="0" fontId="13" fillId="0" borderId="0" xfId="0" applyFont="1" applyBorder="1" applyAlignment="1">
      <alignment horizontal="right" indent="1"/>
    </xf>
    <xf numFmtId="0" fontId="13" fillId="0" borderId="0" xfId="0" applyFont="1" applyBorder="1" applyAlignment="1">
      <alignment horizontal="right" vertical="center" indent="2"/>
    </xf>
    <xf numFmtId="3" fontId="5" fillId="0" borderId="0" xfId="0" applyNumberFormat="1" applyFont="1" applyFill="1" applyBorder="1" applyAlignment="1">
      <alignment horizontal="right" vertical="center" indent="2"/>
    </xf>
    <xf numFmtId="0" fontId="5" fillId="0" borderId="0" xfId="0" quotePrefix="1" applyFont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 indent="1"/>
    </xf>
    <xf numFmtId="3" fontId="13" fillId="0" borderId="0" xfId="0" applyNumberFormat="1" applyFont="1" applyBorder="1" applyAlignment="1">
      <alignment horizontal="right" vertical="center" indent="1"/>
    </xf>
    <xf numFmtId="3" fontId="5" fillId="0" borderId="0" xfId="0" applyNumberFormat="1" applyFont="1" applyFill="1" applyBorder="1" applyAlignment="1">
      <alignment horizontal="right" vertical="center" indent="1"/>
    </xf>
    <xf numFmtId="4" fontId="5" fillId="0" borderId="0" xfId="0" applyNumberFormat="1" applyFont="1" applyAlignment="1">
      <alignment horizontal="right" vertical="center" indent="2"/>
    </xf>
    <xf numFmtId="2" fontId="13" fillId="0" borderId="0" xfId="0" applyNumberFormat="1" applyFont="1" applyBorder="1" applyAlignment="1">
      <alignment horizontal="right" vertical="center" indent="2"/>
    </xf>
    <xf numFmtId="4" fontId="13" fillId="0" borderId="0" xfId="0" applyNumberFormat="1" applyFont="1" applyBorder="1" applyAlignment="1">
      <alignment horizontal="right" vertical="center" indent="2"/>
    </xf>
    <xf numFmtId="0" fontId="5" fillId="0" borderId="0" xfId="0" applyFont="1" applyFill="1" applyBorder="1" applyAlignment="1">
      <alignment horizontal="right" vertical="center" indent="2"/>
    </xf>
    <xf numFmtId="2" fontId="5" fillId="0" borderId="0" xfId="0" applyNumberFormat="1" applyFont="1" applyFill="1" applyBorder="1" applyAlignment="1">
      <alignment horizontal="right" vertical="center" indent="2"/>
    </xf>
    <xf numFmtId="4" fontId="5" fillId="0" borderId="0" xfId="0" applyNumberFormat="1" applyFont="1" applyFill="1" applyBorder="1" applyAlignment="1">
      <alignment horizontal="right" vertical="center" indent="2"/>
    </xf>
    <xf numFmtId="0" fontId="11" fillId="0" borderId="5" xfId="0" applyFont="1" applyBorder="1" applyAlignment="1">
      <alignment horizontal="right" indent="1"/>
    </xf>
    <xf numFmtId="0" fontId="11" fillId="0" borderId="0" xfId="0" applyFont="1" applyAlignment="1">
      <alignment horizontal="right" indent="1"/>
    </xf>
    <xf numFmtId="0" fontId="24" fillId="0" borderId="0" xfId="0" applyFont="1" applyBorder="1" applyAlignment="1">
      <alignment horizontal="right" indent="1"/>
    </xf>
    <xf numFmtId="0" fontId="0" fillId="0" borderId="0" xfId="0" applyAlignment="1">
      <alignment horizontal="right" vertical="center" inden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6" applyFont="1" applyFill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quotePrefix="1" applyFont="1" applyAlignment="1">
      <alignment horizontal="right" vertical="center" indent="1"/>
    </xf>
    <xf numFmtId="0" fontId="5" fillId="0" borderId="0" xfId="0" quotePrefix="1" applyFont="1" applyFill="1" applyAlignment="1">
      <alignment horizontal="right" vertical="center" indent="1"/>
    </xf>
    <xf numFmtId="0" fontId="8" fillId="0" borderId="0" xfId="0" applyFont="1" applyAlignment="1">
      <alignment horizontal="right" vertical="center" indent="1"/>
    </xf>
    <xf numFmtId="0" fontId="8" fillId="0" borderId="0" xfId="0" applyFont="1" applyFill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3" fontId="5" fillId="0" borderId="0" xfId="6" applyNumberFormat="1" applyFont="1" applyFill="1" applyAlignment="1">
      <alignment horizontal="right" vertical="center" indent="1"/>
    </xf>
    <xf numFmtId="3" fontId="5" fillId="0" borderId="0" xfId="0" applyNumberFormat="1" applyFont="1" applyBorder="1" applyAlignment="1">
      <alignment horizontal="right" vertical="center" indent="1"/>
    </xf>
    <xf numFmtId="4" fontId="5" fillId="0" borderId="0" xfId="0" applyNumberFormat="1" applyFont="1" applyBorder="1" applyAlignment="1">
      <alignment horizontal="right" indent="1"/>
    </xf>
    <xf numFmtId="0" fontId="16" fillId="0" borderId="0" xfId="0" applyFont="1" applyBorder="1" applyAlignment="1">
      <alignment horizontal="left" wrapText="1" indent="1"/>
    </xf>
    <xf numFmtId="4" fontId="16" fillId="0" borderId="0" xfId="0" applyNumberFormat="1" applyFont="1" applyBorder="1" applyAlignment="1">
      <alignment horizontal="left" wrapText="1" indent="1"/>
    </xf>
    <xf numFmtId="0" fontId="11" fillId="0" borderId="4" xfId="0" applyFont="1" applyBorder="1" applyAlignment="1">
      <alignment wrapText="1"/>
    </xf>
    <xf numFmtId="2" fontId="6" fillId="0" borderId="0" xfId="0" applyNumberFormat="1" applyFont="1" applyAlignment="1">
      <alignment horizontal="right" vertical="center" wrapText="1" indent="1"/>
    </xf>
    <xf numFmtId="4" fontId="6" fillId="0" borderId="0" xfId="0" applyNumberFormat="1" applyFont="1" applyAlignment="1">
      <alignment horizontal="right" vertical="center" wrapText="1" indent="1"/>
    </xf>
    <xf numFmtId="0" fontId="8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8" fillId="0" borderId="3" xfId="0" applyFont="1" applyBorder="1" applyAlignment="1">
      <alignment horizontal="center" wrapText="1"/>
    </xf>
    <xf numFmtId="3" fontId="18" fillId="0" borderId="3" xfId="0" applyNumberFormat="1" applyFont="1" applyBorder="1" applyAlignment="1">
      <alignment horizontal="center" wrapText="1"/>
    </xf>
    <xf numFmtId="0" fontId="21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Fill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6" fontId="6" fillId="0" borderId="3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left" vertical="center" indent="1"/>
    </xf>
    <xf numFmtId="0" fontId="52" fillId="0" borderId="0" xfId="0" applyFont="1" applyBorder="1" applyAlignment="1">
      <alignment vertical="center"/>
    </xf>
    <xf numFmtId="3" fontId="18" fillId="0" borderId="0" xfId="0" applyNumberFormat="1" applyFont="1" applyBorder="1" applyAlignment="1">
      <alignment horizontal="center" vertical="center"/>
    </xf>
    <xf numFmtId="3" fontId="14" fillId="0" borderId="3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indent="1"/>
    </xf>
    <xf numFmtId="4" fontId="6" fillId="0" borderId="3" xfId="0" applyNumberFormat="1" applyFont="1" applyBorder="1" applyAlignment="1">
      <alignment horizontal="center" wrapText="1"/>
    </xf>
    <xf numFmtId="6" fontId="6" fillId="0" borderId="3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wrapText="1" indent="2"/>
    </xf>
    <xf numFmtId="4" fontId="5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2"/>
    </xf>
    <xf numFmtId="4" fontId="5" fillId="0" borderId="0" xfId="1" applyNumberFormat="1" applyFont="1" applyFill="1" applyBorder="1" applyAlignment="1">
      <alignment horizontal="right" indent="1"/>
    </xf>
    <xf numFmtId="3" fontId="13" fillId="0" borderId="0" xfId="0" applyNumberFormat="1" applyFont="1" applyFill="1" applyBorder="1" applyAlignment="1">
      <alignment horizontal="right" indent="2"/>
    </xf>
    <xf numFmtId="0" fontId="13" fillId="0" borderId="0" xfId="0" quotePrefix="1" applyFont="1" applyFill="1" applyBorder="1" applyAlignment="1">
      <alignment horizontal="right" vertical="center" indent="2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71" fontId="13" fillId="0" borderId="0" xfId="0" applyNumberFormat="1" applyFont="1" applyBorder="1"/>
    <xf numFmtId="171" fontId="5" fillId="0" borderId="0" xfId="0" applyNumberFormat="1" applyFont="1" applyAlignment="1">
      <alignment horizontal="left" indent="1"/>
    </xf>
    <xf numFmtId="0" fontId="15" fillId="0" borderId="0" xfId="0" applyFont="1" applyFill="1" applyBorder="1" applyAlignment="1"/>
    <xf numFmtId="0" fontId="5" fillId="0" borderId="6" xfId="0" applyFont="1" applyFill="1" applyBorder="1" applyAlignment="1">
      <alignment horizontal="right" indent="1"/>
    </xf>
    <xf numFmtId="3" fontId="13" fillId="0" borderId="3" xfId="0" applyNumberFormat="1" applyFont="1" applyFill="1" applyBorder="1" applyAlignment="1">
      <alignment horizontal="right" vertical="center" indent="1"/>
    </xf>
    <xf numFmtId="2" fontId="13" fillId="0" borderId="3" xfId="0" applyNumberFormat="1" applyFont="1" applyFill="1" applyBorder="1" applyAlignment="1">
      <alignment horizontal="right" vertical="center" indent="2"/>
    </xf>
    <xf numFmtId="4" fontId="13" fillId="0" borderId="3" xfId="0" applyNumberFormat="1" applyFont="1" applyFill="1" applyBorder="1" applyAlignment="1">
      <alignment horizontal="right" vertical="center" indent="2"/>
    </xf>
    <xf numFmtId="2" fontId="13" fillId="0" borderId="0" xfId="0" quotePrefix="1" applyNumberFormat="1" applyFont="1" applyFill="1" applyBorder="1" applyAlignment="1">
      <alignment horizontal="right" vertical="center" indent="2"/>
    </xf>
    <xf numFmtId="3" fontId="13" fillId="0" borderId="0" xfId="0" quotePrefix="1" applyNumberFormat="1" applyFont="1" applyFill="1" applyBorder="1" applyAlignment="1">
      <alignment horizontal="right" vertical="center" indent="2"/>
    </xf>
    <xf numFmtId="3" fontId="5" fillId="0" borderId="2" xfId="0" applyNumberFormat="1" applyFont="1" applyFill="1" applyBorder="1" applyAlignment="1">
      <alignment horizontal="right" vertical="center" indent="1"/>
    </xf>
    <xf numFmtId="0" fontId="13" fillId="0" borderId="2" xfId="0" quotePrefix="1" applyFont="1" applyFill="1" applyBorder="1" applyAlignment="1">
      <alignment horizontal="right" vertical="center" indent="2"/>
    </xf>
    <xf numFmtId="3" fontId="13" fillId="0" borderId="2" xfId="0" quotePrefix="1" applyNumberFormat="1" applyFont="1" applyFill="1" applyBorder="1" applyAlignment="1">
      <alignment horizontal="right" vertical="center" indent="2"/>
    </xf>
    <xf numFmtId="3" fontId="5" fillId="0" borderId="2" xfId="0" applyNumberFormat="1" applyFont="1" applyFill="1" applyBorder="1" applyAlignment="1">
      <alignment horizontal="right" vertical="center" indent="2"/>
    </xf>
    <xf numFmtId="0" fontId="13" fillId="0" borderId="0" xfId="0" applyFont="1" applyFill="1" applyAlignment="1">
      <alignment horizontal="right" vertical="center" indent="1"/>
    </xf>
    <xf numFmtId="3" fontId="13" fillId="0" borderId="0" xfId="6" applyNumberFormat="1" applyFont="1" applyFill="1" applyAlignment="1">
      <alignment horizontal="right" vertical="center" indent="1"/>
    </xf>
    <xf numFmtId="3" fontId="13" fillId="0" borderId="0" xfId="0" applyNumberFormat="1" applyFont="1" applyFill="1" applyAlignment="1">
      <alignment horizontal="right" vertical="center" indent="1"/>
    </xf>
    <xf numFmtId="0" fontId="13" fillId="0" borderId="0" xfId="0" applyFont="1" applyFill="1" applyBorder="1" applyAlignment="1">
      <alignment horizontal="right" vertical="center" indent="1"/>
    </xf>
    <xf numFmtId="3" fontId="5" fillId="0" borderId="3" xfId="0" applyNumberFormat="1" applyFont="1" applyFill="1" applyBorder="1" applyAlignment="1">
      <alignment horizontal="right" wrapText="1" indent="2"/>
    </xf>
    <xf numFmtId="3" fontId="5" fillId="0" borderId="3" xfId="0" applyNumberFormat="1" applyFont="1" applyFill="1" applyBorder="1" applyAlignment="1">
      <alignment horizontal="right" indent="2"/>
    </xf>
    <xf numFmtId="0" fontId="13" fillId="0" borderId="0" xfId="0" applyFont="1" applyFill="1" applyBorder="1" applyAlignment="1">
      <alignment wrapText="1"/>
    </xf>
    <xf numFmtId="3" fontId="26" fillId="0" borderId="0" xfId="0" applyNumberFormat="1" applyFont="1" applyFill="1" applyAlignment="1">
      <alignment horizontal="right" vertical="center" indent="2"/>
    </xf>
    <xf numFmtId="164" fontId="5" fillId="0" borderId="0" xfId="0" applyNumberFormat="1" applyFont="1" applyFill="1" applyAlignment="1">
      <alignment horizontal="right" vertical="center" indent="2"/>
    </xf>
    <xf numFmtId="164" fontId="26" fillId="0" borderId="0" xfId="0" applyNumberFormat="1" applyFont="1" applyFill="1" applyAlignment="1">
      <alignment horizontal="right" vertical="center" indent="2"/>
    </xf>
    <xf numFmtId="3" fontId="26" fillId="0" borderId="0" xfId="0" applyNumberFormat="1" applyFont="1" applyFill="1" applyAlignment="1">
      <alignment horizontal="right" vertical="center" indent="1"/>
    </xf>
    <xf numFmtId="2" fontId="26" fillId="0" borderId="0" xfId="0" applyNumberFormat="1" applyFont="1" applyFill="1" applyAlignment="1">
      <alignment horizontal="right" vertical="center" indent="2"/>
    </xf>
    <xf numFmtId="3" fontId="5" fillId="0" borderId="0" xfId="0" quotePrefix="1" applyNumberFormat="1" applyFont="1" applyFill="1" applyBorder="1" applyAlignment="1">
      <alignment horizontal="right" indent="1"/>
    </xf>
    <xf numFmtId="4" fontId="13" fillId="0" borderId="0" xfId="0" applyNumberFormat="1" applyFont="1" applyBorder="1"/>
    <xf numFmtId="0" fontId="5" fillId="0" borderId="0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left" indent="1"/>
    </xf>
    <xf numFmtId="0" fontId="14" fillId="0" borderId="0" xfId="0" applyFont="1" applyFill="1" applyBorder="1" applyAlignment="1"/>
    <xf numFmtId="0" fontId="5" fillId="0" borderId="0" xfId="0" applyFont="1" applyFill="1" applyAlignment="1">
      <alignment horizontal="left" vertical="center"/>
    </xf>
    <xf numFmtId="0" fontId="32" fillId="0" borderId="3" xfId="0" applyFont="1" applyBorder="1" applyAlignment="1"/>
    <xf numFmtId="0" fontId="21" fillId="0" borderId="0" xfId="0" applyFont="1" applyBorder="1" applyAlignment="1">
      <alignment horizontal="left" vertical="center" indent="1"/>
    </xf>
    <xf numFmtId="0" fontId="21" fillId="0" borderId="0" xfId="0" applyFont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right" indent="1"/>
    </xf>
    <xf numFmtId="4" fontId="5" fillId="0" borderId="3" xfId="1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 vertical="center"/>
    </xf>
    <xf numFmtId="0" fontId="46" fillId="0" borderId="3" xfId="0" applyFont="1" applyBorder="1" applyAlignment="1">
      <alignment horizontal="left" vertical="center" indent="1"/>
    </xf>
    <xf numFmtId="166" fontId="5" fillId="0" borderId="0" xfId="0" applyNumberFormat="1" applyFont="1" applyFill="1" applyBorder="1" applyAlignment="1">
      <alignment horizontal="right" vertical="center" indent="2"/>
    </xf>
    <xf numFmtId="0" fontId="46" fillId="0" borderId="3" xfId="0" applyFont="1" applyBorder="1"/>
    <xf numFmtId="16" fontId="5" fillId="0" borderId="3" xfId="0" quotePrefix="1" applyNumberFormat="1" applyFont="1" applyFill="1" applyBorder="1" applyAlignment="1">
      <alignment horizontal="center"/>
    </xf>
    <xf numFmtId="3" fontId="6" fillId="0" borderId="0" xfId="0" applyNumberFormat="1" applyFont="1" applyFill="1" applyAlignment="1">
      <alignment horizontal="right" vertical="center" wrapText="1" indent="1"/>
    </xf>
    <xf numFmtId="6" fontId="6" fillId="0" borderId="0" xfId="0" applyNumberFormat="1" applyFont="1" applyBorder="1" applyAlignment="1">
      <alignment horizontal="center" wrapText="1"/>
    </xf>
    <xf numFmtId="0" fontId="26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 indent="1"/>
    </xf>
    <xf numFmtId="0" fontId="5" fillId="0" borderId="3" xfId="0" applyFont="1" applyBorder="1" applyAlignment="1">
      <alignment horizontal="right" vertical="center" indent="2"/>
    </xf>
    <xf numFmtId="4" fontId="0" fillId="0" borderId="0" xfId="0" applyNumberFormat="1"/>
    <xf numFmtId="3" fontId="5" fillId="0" borderId="0" xfId="0" applyNumberFormat="1" applyFont="1" applyFill="1"/>
    <xf numFmtId="0" fontId="5" fillId="0" borderId="3" xfId="0" applyFont="1" applyFill="1" applyBorder="1" applyAlignment="1">
      <alignment horizontal="right" indent="2"/>
    </xf>
    <xf numFmtId="2" fontId="5" fillId="0" borderId="3" xfId="0" applyNumberFormat="1" applyFont="1" applyFill="1" applyBorder="1" applyAlignment="1">
      <alignment horizontal="right" indent="2"/>
    </xf>
    <xf numFmtId="0" fontId="13" fillId="0" borderId="0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right" vertical="center" indent="2"/>
    </xf>
    <xf numFmtId="0" fontId="1" fillId="0" borderId="0" xfId="0" applyFont="1"/>
    <xf numFmtId="0" fontId="5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 indent="1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right" vertical="center" indent="2"/>
    </xf>
    <xf numFmtId="3" fontId="5" fillId="0" borderId="0" xfId="0" applyNumberFormat="1" applyFont="1" applyBorder="1" applyAlignment="1">
      <alignment horizontal="right" vertical="center" indent="2"/>
    </xf>
    <xf numFmtId="4" fontId="5" fillId="0" borderId="0" xfId="0" applyNumberFormat="1" applyFont="1" applyBorder="1" applyAlignment="1">
      <alignment horizontal="right" vertical="center" indent="2"/>
    </xf>
    <xf numFmtId="0" fontId="1" fillId="0" borderId="0" xfId="0" applyFont="1" applyFill="1"/>
    <xf numFmtId="10" fontId="13" fillId="0" borderId="0" xfId="0" applyNumberFormat="1" applyFont="1" applyBorder="1"/>
    <xf numFmtId="0" fontId="21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indent="1"/>
    </xf>
    <xf numFmtId="0" fontId="32" fillId="0" borderId="0" xfId="0" applyFont="1" applyFill="1" applyBorder="1" applyAlignment="1">
      <alignment horizontal="left" indent="1"/>
    </xf>
    <xf numFmtId="0" fontId="18" fillId="0" borderId="0" xfId="0" applyFont="1" applyFill="1" applyBorder="1"/>
    <xf numFmtId="0" fontId="13" fillId="3" borderId="0" xfId="0" applyFont="1" applyFill="1" applyBorder="1"/>
    <xf numFmtId="0" fontId="18" fillId="3" borderId="3" xfId="0" applyFont="1" applyFill="1" applyBorder="1" applyAlignment="1">
      <alignment horizontal="center" wrapText="1"/>
    </xf>
    <xf numFmtId="171" fontId="13" fillId="3" borderId="0" xfId="0" applyNumberFormat="1" applyFont="1" applyFill="1" applyBorder="1"/>
    <xf numFmtId="0" fontId="13" fillId="3" borderId="0" xfId="0" applyFont="1" applyFill="1" applyBorder="1" applyAlignment="1"/>
    <xf numFmtId="0" fontId="13" fillId="3" borderId="0" xfId="0" applyFont="1" applyFill="1" applyBorder="1" applyAlignment="1">
      <alignment horizontal="justify" vertical="top" wrapText="1"/>
    </xf>
    <xf numFmtId="0" fontId="24" fillId="3" borderId="0" xfId="0" applyFont="1" applyFill="1" applyBorder="1" applyAlignment="1">
      <alignment horizontal="justify" vertical="top" wrapText="1"/>
    </xf>
    <xf numFmtId="0" fontId="0" fillId="3" borderId="0" xfId="0" applyFill="1"/>
    <xf numFmtId="0" fontId="13" fillId="3" borderId="0" xfId="0" applyFont="1" applyFill="1" applyBorder="1" applyAlignment="1">
      <alignment horizontal="center"/>
    </xf>
    <xf numFmtId="0" fontId="0" fillId="3" borderId="0" xfId="0" applyFill="1" applyBorder="1"/>
    <xf numFmtId="0" fontId="1" fillId="3" borderId="0" xfId="6" applyFill="1"/>
    <xf numFmtId="171" fontId="13" fillId="3" borderId="0" xfId="5" applyNumberFormat="1" applyFont="1" applyFill="1" applyBorder="1"/>
    <xf numFmtId="9" fontId="13" fillId="3" borderId="0" xfId="5" applyFont="1" applyFill="1" applyBorder="1"/>
    <xf numFmtId="171" fontId="5" fillId="3" borderId="0" xfId="0" applyNumberFormat="1" applyFont="1" applyFill="1" applyAlignment="1">
      <alignment horizontal="left" indent="1"/>
    </xf>
    <xf numFmtId="170" fontId="15" fillId="3" borderId="0" xfId="1" applyNumberFormat="1" applyFont="1" applyFill="1" applyBorder="1"/>
    <xf numFmtId="0" fontId="15" fillId="3" borderId="0" xfId="0" applyFont="1" applyFill="1" applyBorder="1" applyAlignment="1"/>
    <xf numFmtId="0" fontId="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1" fillId="0" borderId="3" xfId="0" applyFont="1" applyFill="1" applyBorder="1" applyAlignment="1">
      <alignment horizontal="left"/>
    </xf>
    <xf numFmtId="0" fontId="5" fillId="0" borderId="0" xfId="0" applyFont="1" applyBorder="1" applyAlignment="1"/>
    <xf numFmtId="4" fontId="5" fillId="0" borderId="0" xfId="1" applyNumberFormat="1" applyFont="1" applyBorder="1" applyAlignment="1">
      <alignment horizontal="right" indent="1"/>
    </xf>
    <xf numFmtId="4" fontId="5" fillId="0" borderId="0" xfId="0" applyNumberFormat="1" applyFont="1" applyBorder="1" applyAlignment="1"/>
    <xf numFmtId="0" fontId="5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right" indent="2"/>
    </xf>
    <xf numFmtId="3" fontId="5" fillId="0" borderId="1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9" fillId="0" borderId="3" xfId="0" applyFont="1" applyFill="1" applyBorder="1"/>
    <xf numFmtId="16" fontId="9" fillId="0" borderId="3" xfId="0" quotePrefix="1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right" indent="1"/>
    </xf>
    <xf numFmtId="2" fontId="9" fillId="0" borderId="3" xfId="0" applyNumberFormat="1" applyFont="1" applyFill="1" applyBorder="1" applyAlignment="1">
      <alignment horizontal="right" indent="1"/>
    </xf>
    <xf numFmtId="0" fontId="9" fillId="0" borderId="3" xfId="0" applyFont="1" applyFill="1" applyBorder="1" applyAlignment="1">
      <alignment horizontal="right" indent="1"/>
    </xf>
    <xf numFmtId="3" fontId="5" fillId="0" borderId="3" xfId="0" applyNumberFormat="1" applyFont="1" applyFill="1" applyBorder="1" applyAlignment="1">
      <alignment horizontal="right" vertical="center" indent="1"/>
    </xf>
    <xf numFmtId="3" fontId="5" fillId="0" borderId="3" xfId="0" applyNumberFormat="1" applyFont="1" applyFill="1" applyBorder="1" applyAlignment="1">
      <alignment horizontal="right" vertical="center" indent="2"/>
    </xf>
    <xf numFmtId="2" fontId="5" fillId="0" borderId="3" xfId="0" applyNumberFormat="1" applyFont="1" applyFill="1" applyBorder="1" applyAlignment="1">
      <alignment horizontal="right" vertical="center" indent="2"/>
    </xf>
    <xf numFmtId="4" fontId="5" fillId="0" borderId="3" xfId="0" applyNumberFormat="1" applyFont="1" applyFill="1" applyBorder="1" applyAlignment="1">
      <alignment horizontal="right" vertical="center" indent="2"/>
    </xf>
    <xf numFmtId="0" fontId="5" fillId="0" borderId="7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right" vertical="center" indent="1"/>
    </xf>
    <xf numFmtId="0" fontId="5" fillId="0" borderId="3" xfId="0" applyFont="1" applyFill="1" applyBorder="1" applyAlignment="1">
      <alignment horizontal="right" vertical="center" indent="2"/>
    </xf>
    <xf numFmtId="0" fontId="45" fillId="0" borderId="3" xfId="0" applyFont="1" applyBorder="1" applyAlignment="1"/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right" vertical="center" indent="2"/>
    </xf>
    <xf numFmtId="0" fontId="48" fillId="0" borderId="0" xfId="0" applyFont="1" applyFill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indent="1"/>
    </xf>
    <xf numFmtId="0" fontId="5" fillId="0" borderId="0" xfId="0" quotePrefix="1" applyFont="1" applyFill="1" applyBorder="1" applyAlignment="1">
      <alignment horizontal="left" vertical="center" indent="1"/>
    </xf>
    <xf numFmtId="3" fontId="5" fillId="0" borderId="0" xfId="0" applyNumberFormat="1" applyFont="1" applyFill="1" applyBorder="1" applyAlignment="1">
      <alignment horizontal="left" vertical="center" indent="1"/>
    </xf>
    <xf numFmtId="2" fontId="5" fillId="0" borderId="0" xfId="0" applyNumberFormat="1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16" fontId="22" fillId="0" borderId="0" xfId="0" quotePrefix="1" applyNumberFormat="1" applyFont="1" applyBorder="1" applyAlignment="1">
      <alignment horizontal="left" vertical="center" indent="1"/>
    </xf>
    <xf numFmtId="3" fontId="13" fillId="0" borderId="0" xfId="0" applyNumberFormat="1" applyFont="1" applyFill="1" applyBorder="1" applyAlignment="1">
      <alignment horizontal="left" vertical="center" indent="1"/>
    </xf>
    <xf numFmtId="3" fontId="13" fillId="0" borderId="0" xfId="0" quotePrefix="1" applyNumberFormat="1" applyFont="1" applyFill="1" applyBorder="1" applyAlignment="1">
      <alignment horizontal="left" vertical="center" indent="1"/>
    </xf>
    <xf numFmtId="0" fontId="11" fillId="0" borderId="4" xfId="0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left" vertical="center" indent="1"/>
    </xf>
    <xf numFmtId="0" fontId="40" fillId="0" borderId="0" xfId="0" applyFont="1" applyBorder="1" applyAlignment="1">
      <alignment horizontal="left" vertical="center" indent="1"/>
    </xf>
    <xf numFmtId="0" fontId="33" fillId="0" borderId="0" xfId="0" applyFont="1" applyBorder="1" applyAlignment="1">
      <alignment horizontal="left" vertical="center" indent="1"/>
    </xf>
    <xf numFmtId="0" fontId="40" fillId="0" borderId="0" xfId="0" applyFont="1" applyAlignment="1">
      <alignment horizontal="left" vertical="center" indent="1"/>
    </xf>
    <xf numFmtId="0" fontId="31" fillId="0" borderId="0" xfId="0" applyFont="1" applyBorder="1" applyAlignment="1">
      <alignment horizontal="left" vertical="center" indent="1"/>
    </xf>
    <xf numFmtId="0" fontId="32" fillId="0" borderId="0" xfId="0" applyFont="1" applyBorder="1" applyAlignment="1">
      <alignment horizontal="left" vertical="center" indent="1"/>
    </xf>
    <xf numFmtId="0" fontId="48" fillId="0" borderId="0" xfId="0" applyFont="1" applyBorder="1" applyAlignment="1">
      <alignment horizontal="left" vertical="center" indent="1"/>
    </xf>
    <xf numFmtId="0" fontId="49" fillId="0" borderId="0" xfId="0" applyFont="1" applyBorder="1" applyAlignment="1">
      <alignment horizontal="left" vertical="center" indent="1"/>
    </xf>
    <xf numFmtId="49" fontId="6" fillId="0" borderId="3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left" indent="2"/>
    </xf>
    <xf numFmtId="3" fontId="26" fillId="0" borderId="0" xfId="0" applyNumberFormat="1" applyFont="1" applyFill="1" applyAlignment="1">
      <alignment horizontal="left" indent="2"/>
    </xf>
    <xf numFmtId="3" fontId="5" fillId="0" borderId="0" xfId="0" applyNumberFormat="1" applyFont="1" applyFill="1" applyAlignment="1">
      <alignment horizontal="left" indent="2"/>
    </xf>
    <xf numFmtId="3" fontId="26" fillId="0" borderId="0" xfId="0" applyNumberFormat="1" applyFont="1" applyAlignment="1">
      <alignment horizontal="left" indent="2"/>
    </xf>
    <xf numFmtId="3" fontId="5" fillId="0" borderId="0" xfId="0" applyNumberFormat="1" applyFont="1" applyFill="1" applyBorder="1" applyAlignment="1">
      <alignment horizontal="left" indent="2"/>
    </xf>
    <xf numFmtId="3" fontId="5" fillId="0" borderId="3" xfId="0" applyNumberFormat="1" applyFont="1" applyFill="1" applyBorder="1" applyAlignment="1">
      <alignment horizontal="left" indent="2"/>
    </xf>
    <xf numFmtId="3" fontId="5" fillId="0" borderId="0" xfId="0" applyNumberFormat="1" applyFont="1" applyBorder="1" applyAlignment="1">
      <alignment horizontal="left" indent="1"/>
    </xf>
    <xf numFmtId="0" fontId="2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horizontal="right" indent="1"/>
    </xf>
    <xf numFmtId="0" fontId="6" fillId="0" borderId="0" xfId="0" applyFont="1" applyFill="1" applyAlignment="1">
      <alignment horizontal="center"/>
    </xf>
    <xf numFmtId="0" fontId="40" fillId="0" borderId="0" xfId="0" applyFont="1" applyFill="1" applyBorder="1" applyAlignment="1">
      <alignment horizontal="left" indent="1"/>
    </xf>
    <xf numFmtId="0" fontId="48" fillId="0" borderId="0" xfId="0" applyFont="1" applyFill="1" applyBorder="1" applyAlignment="1">
      <alignment horizontal="left" indent="1"/>
    </xf>
    <xf numFmtId="0" fontId="11" fillId="0" borderId="0" xfId="0" applyFont="1" applyFill="1" applyAlignment="1">
      <alignment horizontal="left" vertical="center" indent="1"/>
    </xf>
    <xf numFmtId="0" fontId="11" fillId="0" borderId="4" xfId="0" applyFont="1" applyFill="1" applyBorder="1" applyAlignment="1">
      <alignment horizontal="left" indent="1"/>
    </xf>
    <xf numFmtId="0" fontId="27" fillId="2" borderId="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indent="1"/>
    </xf>
    <xf numFmtId="0" fontId="20" fillId="0" borderId="0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 indent="1"/>
    </xf>
    <xf numFmtId="0" fontId="11" fillId="0" borderId="4" xfId="0" applyFont="1" applyFill="1" applyBorder="1" applyAlignment="1">
      <alignment horizontal="left" indent="1"/>
    </xf>
    <xf numFmtId="0" fontId="21" fillId="0" borderId="0" xfId="0" applyFont="1" applyBorder="1" applyAlignment="1">
      <alignment horizontal="left" vertical="center" indent="1"/>
    </xf>
    <xf numFmtId="0" fontId="21" fillId="0" borderId="3" xfId="0" applyFont="1" applyBorder="1" applyAlignment="1">
      <alignment horizontal="left" vertical="center" indent="1"/>
    </xf>
    <xf numFmtId="0" fontId="21" fillId="0" borderId="0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1" fillId="0" borderId="3" xfId="0" applyFont="1" applyBorder="1" applyAlignment="1">
      <alignment horizontal="center" wrapText="1"/>
    </xf>
    <xf numFmtId="0" fontId="51" fillId="0" borderId="3" xfId="0" applyFont="1" applyBorder="1" applyAlignment="1">
      <alignment horizontal="center"/>
    </xf>
    <xf numFmtId="0" fontId="32" fillId="0" borderId="3" xfId="0" applyFont="1" applyBorder="1" applyAlignment="1"/>
    <xf numFmtId="0" fontId="18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 indent="1"/>
    </xf>
    <xf numFmtId="0" fontId="21" fillId="0" borderId="3" xfId="0" applyFont="1" applyBorder="1" applyAlignment="1">
      <alignment horizontal="left" vertical="center" wrapText="1" indent="1"/>
    </xf>
    <xf numFmtId="0" fontId="21" fillId="0" borderId="0" xfId="0" applyFont="1" applyBorder="1" applyAlignment="1">
      <alignment horizontal="center" wrapText="1"/>
    </xf>
    <xf numFmtId="4" fontId="21" fillId="0" borderId="0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</cellXfs>
  <cellStyles count="7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6" xr:uid="{00000000-0005-0000-0000-000005000000}"/>
    <cellStyle name="Percent" xfId="5" builtinId="5"/>
  </cellStyles>
  <dxfs count="5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A6F1F"/>
      <color rgb="FFCCFFCC"/>
      <color rgb="FF00F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A6F1F"/>
    <pageSetUpPr fitToPage="1"/>
  </sheetPr>
  <dimension ref="A1:K508"/>
  <sheetViews>
    <sheetView zoomScale="110" zoomScaleNormal="110" zoomScaleSheetLayoutView="120" workbookViewId="0">
      <pane ySplit="3" topLeftCell="A4" activePane="bottomLeft" state="frozen"/>
      <selection pane="bottomLeft" sqref="A1:H1"/>
    </sheetView>
  </sheetViews>
  <sheetFormatPr defaultColWidth="9.140625" defaultRowHeight="11.1" customHeight="1" x14ac:dyDescent="0.2"/>
  <cols>
    <col min="1" max="1" width="20.85546875" style="1" customWidth="1"/>
    <col min="2" max="2" width="6.7109375" style="7" customWidth="1"/>
    <col min="3" max="3" width="10.7109375" style="1" customWidth="1"/>
    <col min="4" max="4" width="11.140625" style="1" customWidth="1"/>
    <col min="5" max="5" width="11.42578125" style="1" customWidth="1"/>
    <col min="6" max="6" width="12.85546875" style="1" customWidth="1"/>
    <col min="7" max="7" width="11.7109375" style="1" customWidth="1"/>
    <col min="8" max="8" width="12.85546875" style="1" customWidth="1"/>
    <col min="9" max="9" width="9.140625" style="1"/>
    <col min="10" max="10" width="14" style="1" bestFit="1" customWidth="1"/>
    <col min="11" max="11" width="10.42578125" style="1" bestFit="1" customWidth="1"/>
    <col min="12" max="16384" width="9.140625" style="1"/>
  </cols>
  <sheetData>
    <row r="1" spans="1:11" ht="16.5" customHeight="1" x14ac:dyDescent="0.2">
      <c r="A1" s="552" t="s">
        <v>144</v>
      </c>
      <c r="B1" s="552"/>
      <c r="C1" s="552"/>
      <c r="D1" s="552"/>
      <c r="E1" s="552"/>
      <c r="F1" s="552"/>
      <c r="G1" s="552"/>
      <c r="H1" s="552"/>
    </row>
    <row r="2" spans="1:11" s="100" customFormat="1" ht="25.5" customHeight="1" x14ac:dyDescent="0.2">
      <c r="A2" s="554" t="s">
        <v>0</v>
      </c>
      <c r="B2" s="556" t="s">
        <v>1</v>
      </c>
      <c r="C2" s="376" t="s">
        <v>102</v>
      </c>
      <c r="D2" s="377" t="s">
        <v>103</v>
      </c>
      <c r="E2" s="376" t="s">
        <v>104</v>
      </c>
      <c r="F2" s="377" t="s">
        <v>105</v>
      </c>
      <c r="G2" s="377" t="s">
        <v>106</v>
      </c>
      <c r="H2" s="376" t="s">
        <v>107</v>
      </c>
    </row>
    <row r="3" spans="1:11" s="100" customFormat="1" ht="12.6" customHeight="1" x14ac:dyDescent="0.2">
      <c r="A3" s="555"/>
      <c r="B3" s="557"/>
      <c r="C3" s="378" t="s">
        <v>2</v>
      </c>
      <c r="D3" s="378" t="s">
        <v>108</v>
      </c>
      <c r="E3" s="378" t="s">
        <v>108</v>
      </c>
      <c r="F3" s="378" t="s">
        <v>108</v>
      </c>
      <c r="G3" s="378" t="s">
        <v>109</v>
      </c>
      <c r="H3" s="379">
        <v>1000</v>
      </c>
    </row>
    <row r="4" spans="1:11" ht="3.75" customHeight="1" x14ac:dyDescent="0.2">
      <c r="B4" s="102"/>
      <c r="C4" s="119"/>
      <c r="D4" s="274"/>
      <c r="E4" s="268"/>
      <c r="F4" s="268"/>
      <c r="G4" s="140"/>
      <c r="H4" s="119"/>
    </row>
    <row r="5" spans="1:11" ht="12" customHeight="1" x14ac:dyDescent="0.2">
      <c r="A5" s="139" t="s">
        <v>63</v>
      </c>
      <c r="B5" s="102">
        <v>2011</v>
      </c>
      <c r="C5" s="119">
        <v>4200</v>
      </c>
      <c r="D5" s="274">
        <v>100</v>
      </c>
      <c r="E5" s="268">
        <v>421000</v>
      </c>
      <c r="F5" s="268">
        <v>421000</v>
      </c>
      <c r="G5" s="140">
        <v>241</v>
      </c>
      <c r="H5" s="119">
        <v>101461</v>
      </c>
    </row>
    <row r="6" spans="1:11" ht="12" customHeight="1" x14ac:dyDescent="0.2">
      <c r="A6" s="141"/>
      <c r="B6" s="102">
        <v>2012</v>
      </c>
      <c r="C6" s="119">
        <v>4200</v>
      </c>
      <c r="D6" s="274">
        <v>97.4</v>
      </c>
      <c r="E6" s="268">
        <v>409000</v>
      </c>
      <c r="F6" s="268">
        <v>409000</v>
      </c>
      <c r="G6" s="140">
        <v>327</v>
      </c>
      <c r="H6" s="119">
        <v>133743</v>
      </c>
    </row>
    <row r="7" spans="1:11" ht="12" customHeight="1" x14ac:dyDescent="0.2">
      <c r="A7" s="141"/>
      <c r="B7" s="102">
        <v>2013</v>
      </c>
      <c r="C7" s="119">
        <v>4800</v>
      </c>
      <c r="D7" s="274">
        <v>107</v>
      </c>
      <c r="E7" s="268">
        <v>514000</v>
      </c>
      <c r="F7" s="268">
        <v>514000</v>
      </c>
      <c r="G7" s="140">
        <v>248</v>
      </c>
      <c r="H7" s="119">
        <v>127520</v>
      </c>
    </row>
    <row r="8" spans="1:11" ht="12" customHeight="1" x14ac:dyDescent="0.2">
      <c r="A8" s="141"/>
      <c r="B8" s="102">
        <v>2014</v>
      </c>
      <c r="C8" s="119">
        <v>4800</v>
      </c>
      <c r="D8" s="274">
        <v>115</v>
      </c>
      <c r="E8" s="268">
        <v>571000</v>
      </c>
      <c r="F8" s="269">
        <v>552000</v>
      </c>
      <c r="G8" s="140">
        <v>216</v>
      </c>
      <c r="H8" s="119">
        <v>119093</v>
      </c>
    </row>
    <row r="9" spans="1:11" ht="12" customHeight="1" x14ac:dyDescent="0.2">
      <c r="A9" s="141"/>
      <c r="B9" s="103">
        <v>2015</v>
      </c>
      <c r="C9" s="142">
        <v>6200</v>
      </c>
      <c r="D9" s="275">
        <v>103</v>
      </c>
      <c r="E9" s="269">
        <v>641000</v>
      </c>
      <c r="F9" s="268">
        <v>639000</v>
      </c>
      <c r="G9" s="143">
        <v>188</v>
      </c>
      <c r="H9" s="142">
        <v>120303</v>
      </c>
    </row>
    <row r="10" spans="1:11" ht="12" customHeight="1" x14ac:dyDescent="0.2">
      <c r="A10" s="141"/>
      <c r="B10" s="102">
        <v>2016</v>
      </c>
      <c r="C10" s="142">
        <v>6400</v>
      </c>
      <c r="D10" s="274">
        <v>93.3</v>
      </c>
      <c r="E10" s="268">
        <v>605000</v>
      </c>
      <c r="F10" s="268">
        <v>597000</v>
      </c>
      <c r="G10" s="140">
        <v>182</v>
      </c>
      <c r="H10" s="119">
        <v>108765</v>
      </c>
    </row>
    <row r="11" spans="1:11" ht="12" customHeight="1" x14ac:dyDescent="0.2">
      <c r="A11" s="141"/>
      <c r="B11" s="73">
        <v>2017</v>
      </c>
      <c r="C11" s="424">
        <v>6600</v>
      </c>
      <c r="D11" s="425">
        <v>94.8</v>
      </c>
      <c r="E11" s="271">
        <v>630300</v>
      </c>
      <c r="F11" s="271">
        <v>626000</v>
      </c>
      <c r="G11" s="203">
        <v>220</v>
      </c>
      <c r="H11" s="196">
        <v>137596</v>
      </c>
    </row>
    <row r="12" spans="1:11" ht="12" customHeight="1" x14ac:dyDescent="0.2">
      <c r="A12" s="141"/>
      <c r="B12" s="102">
        <v>2018</v>
      </c>
      <c r="C12" s="196">
        <v>6600</v>
      </c>
      <c r="D12" s="202">
        <v>98.4</v>
      </c>
      <c r="E12" s="271">
        <v>649000</v>
      </c>
      <c r="F12" s="271">
        <v>634700</v>
      </c>
      <c r="G12" s="203">
        <v>220</v>
      </c>
      <c r="H12" s="196">
        <v>139755</v>
      </c>
    </row>
    <row r="13" spans="1:11" ht="12" customHeight="1" x14ac:dyDescent="0.2">
      <c r="A13" s="141"/>
      <c r="B13" s="102">
        <v>2019</v>
      </c>
      <c r="C13" s="196">
        <v>7300</v>
      </c>
      <c r="D13" s="425">
        <v>101</v>
      </c>
      <c r="E13" s="271">
        <v>737000</v>
      </c>
      <c r="F13" s="271">
        <v>717800</v>
      </c>
      <c r="G13" s="203">
        <v>285</v>
      </c>
      <c r="H13" s="196">
        <v>204460</v>
      </c>
    </row>
    <row r="14" spans="1:11" ht="12" customHeight="1" x14ac:dyDescent="0.2">
      <c r="A14" s="141"/>
      <c r="B14" s="102">
        <v>2020</v>
      </c>
      <c r="C14" s="196">
        <v>6400</v>
      </c>
      <c r="D14" s="425">
        <v>123.9</v>
      </c>
      <c r="E14" s="271">
        <v>793000</v>
      </c>
      <c r="F14" s="271">
        <v>789000</v>
      </c>
      <c r="G14" s="203">
        <v>273</v>
      </c>
      <c r="H14" s="196">
        <v>215698</v>
      </c>
      <c r="I14" s="469"/>
      <c r="J14" s="1" t="s">
        <v>149</v>
      </c>
      <c r="K14" s="263">
        <f>(F14-F13)/F13</f>
        <v>9.9191975480635269E-2</v>
      </c>
    </row>
    <row r="15" spans="1:11" ht="12" customHeight="1" x14ac:dyDescent="0.2">
      <c r="B15" s="102"/>
      <c r="C15" s="144"/>
      <c r="D15" s="144"/>
      <c r="E15" s="270"/>
      <c r="F15" s="270"/>
      <c r="G15" s="144"/>
      <c r="H15" s="144"/>
    </row>
    <row r="16" spans="1:11" ht="12" customHeight="1" x14ac:dyDescent="0.2">
      <c r="A16" s="139" t="s">
        <v>71</v>
      </c>
      <c r="B16" s="102">
        <v>2011</v>
      </c>
      <c r="C16" s="144" t="s">
        <v>77</v>
      </c>
      <c r="D16" s="144" t="s">
        <v>77</v>
      </c>
      <c r="E16" s="270" t="s">
        <v>77</v>
      </c>
      <c r="F16" s="270" t="s">
        <v>77</v>
      </c>
      <c r="G16" s="144" t="s">
        <v>77</v>
      </c>
      <c r="H16" s="144" t="s">
        <v>77</v>
      </c>
    </row>
    <row r="17" spans="1:9" ht="12" customHeight="1" x14ac:dyDescent="0.2">
      <c r="A17" s="141"/>
      <c r="B17" s="102">
        <v>2012</v>
      </c>
      <c r="C17" s="144" t="s">
        <v>77</v>
      </c>
      <c r="D17" s="144" t="s">
        <v>77</v>
      </c>
      <c r="E17" s="270" t="s">
        <v>77</v>
      </c>
      <c r="F17" s="270" t="s">
        <v>77</v>
      </c>
      <c r="G17" s="144" t="s">
        <v>77</v>
      </c>
      <c r="H17" s="144" t="s">
        <v>77</v>
      </c>
    </row>
    <row r="18" spans="1:9" ht="12" customHeight="1" x14ac:dyDescent="0.2">
      <c r="A18" s="141"/>
      <c r="B18" s="102">
        <v>2013</v>
      </c>
      <c r="C18" s="144" t="s">
        <v>77</v>
      </c>
      <c r="D18" s="144" t="s">
        <v>77</v>
      </c>
      <c r="E18" s="270" t="s">
        <v>77</v>
      </c>
      <c r="F18" s="270" t="s">
        <v>77</v>
      </c>
      <c r="G18" s="144" t="s">
        <v>77</v>
      </c>
      <c r="H18" s="144" t="s">
        <v>77</v>
      </c>
    </row>
    <row r="19" spans="1:9" ht="12" customHeight="1" x14ac:dyDescent="0.2">
      <c r="A19" s="141"/>
      <c r="B19" s="102">
        <v>2014</v>
      </c>
      <c r="C19" s="144">
        <v>500</v>
      </c>
      <c r="D19" s="144">
        <v>92.9</v>
      </c>
      <c r="E19" s="271">
        <v>48000</v>
      </c>
      <c r="F19" s="271">
        <v>46500</v>
      </c>
      <c r="G19" s="197">
        <v>262</v>
      </c>
      <c r="H19" s="196">
        <v>12183</v>
      </c>
    </row>
    <row r="20" spans="1:9" ht="12" customHeight="1" x14ac:dyDescent="0.2">
      <c r="A20" s="141"/>
      <c r="B20" s="195">
        <v>2015</v>
      </c>
      <c r="C20" s="196">
        <v>400</v>
      </c>
      <c r="D20" s="276">
        <v>77.599999999999994</v>
      </c>
      <c r="E20" s="271">
        <v>31000</v>
      </c>
      <c r="F20" s="271">
        <v>30800</v>
      </c>
      <c r="G20" s="197">
        <v>375</v>
      </c>
      <c r="H20" s="196">
        <v>11556</v>
      </c>
    </row>
    <row r="21" spans="1:9" ht="12" customHeight="1" x14ac:dyDescent="0.2">
      <c r="A21" s="141"/>
      <c r="B21" s="198">
        <v>2016</v>
      </c>
      <c r="C21" s="196">
        <v>350</v>
      </c>
      <c r="D21" s="276">
        <v>107</v>
      </c>
      <c r="E21" s="271">
        <v>37000</v>
      </c>
      <c r="F21" s="271">
        <v>37000</v>
      </c>
      <c r="G21" s="197">
        <v>347</v>
      </c>
      <c r="H21" s="196">
        <v>12839</v>
      </c>
    </row>
    <row r="22" spans="1:9" ht="12" customHeight="1" x14ac:dyDescent="0.2">
      <c r="A22" s="141"/>
      <c r="B22" s="198">
        <v>2017</v>
      </c>
      <c r="C22" s="196">
        <v>350</v>
      </c>
      <c r="D22" s="276">
        <v>63.7</v>
      </c>
      <c r="E22" s="271">
        <v>22600</v>
      </c>
      <c r="F22" s="271">
        <v>22300</v>
      </c>
      <c r="G22" s="197">
        <v>409</v>
      </c>
      <c r="H22" s="196">
        <v>9123</v>
      </c>
    </row>
    <row r="23" spans="1:9" ht="12" customHeight="1" x14ac:dyDescent="0.2">
      <c r="A23" s="141"/>
      <c r="B23" s="199">
        <v>2018</v>
      </c>
      <c r="C23" s="200" t="s">
        <v>77</v>
      </c>
      <c r="D23" s="200" t="s">
        <v>77</v>
      </c>
      <c r="E23" s="420" t="s">
        <v>77</v>
      </c>
      <c r="F23" s="420" t="s">
        <v>77</v>
      </c>
      <c r="G23" s="201" t="s">
        <v>77</v>
      </c>
      <c r="H23" s="200" t="s">
        <v>77</v>
      </c>
    </row>
    <row r="24" spans="1:9" ht="12" customHeight="1" x14ac:dyDescent="0.2">
      <c r="A24" s="141"/>
      <c r="B24" s="199">
        <v>2019</v>
      </c>
      <c r="C24" s="200" t="s">
        <v>77</v>
      </c>
      <c r="D24" s="200" t="s">
        <v>77</v>
      </c>
      <c r="E24" s="420" t="s">
        <v>77</v>
      </c>
      <c r="F24" s="420" t="s">
        <v>77</v>
      </c>
      <c r="G24" s="201" t="s">
        <v>77</v>
      </c>
      <c r="H24" s="200" t="s">
        <v>77</v>
      </c>
    </row>
    <row r="25" spans="1:9" ht="12" customHeight="1" x14ac:dyDescent="0.2">
      <c r="A25" s="141"/>
      <c r="B25" s="199">
        <v>2020</v>
      </c>
      <c r="C25" s="200" t="s">
        <v>77</v>
      </c>
      <c r="D25" s="200" t="s">
        <v>77</v>
      </c>
      <c r="E25" s="420" t="s">
        <v>77</v>
      </c>
      <c r="F25" s="420" t="s">
        <v>77</v>
      </c>
      <c r="G25" s="201" t="s">
        <v>77</v>
      </c>
      <c r="H25" s="200" t="s">
        <v>77</v>
      </c>
      <c r="I25" s="469"/>
    </row>
    <row r="26" spans="1:9" ht="12" customHeight="1" x14ac:dyDescent="0.2">
      <c r="B26" s="198"/>
      <c r="C26" s="202"/>
      <c r="D26" s="202"/>
      <c r="E26" s="272"/>
      <c r="F26" s="272"/>
      <c r="G26" s="202"/>
      <c r="H26" s="202"/>
    </row>
    <row r="27" spans="1:9" ht="12" customHeight="1" x14ac:dyDescent="0.2">
      <c r="A27" s="139" t="s">
        <v>72</v>
      </c>
      <c r="B27" s="198">
        <v>2011</v>
      </c>
      <c r="C27" s="202" t="s">
        <v>77</v>
      </c>
      <c r="D27" s="202" t="s">
        <v>77</v>
      </c>
      <c r="E27" s="272" t="s">
        <v>77</v>
      </c>
      <c r="F27" s="272" t="s">
        <v>77</v>
      </c>
      <c r="G27" s="202" t="s">
        <v>77</v>
      </c>
      <c r="H27" s="202" t="s">
        <v>77</v>
      </c>
    </row>
    <row r="28" spans="1:9" ht="12" customHeight="1" x14ac:dyDescent="0.2">
      <c r="A28" s="141"/>
      <c r="B28" s="198">
        <v>2012</v>
      </c>
      <c r="C28" s="202" t="s">
        <v>77</v>
      </c>
      <c r="D28" s="202" t="s">
        <v>77</v>
      </c>
      <c r="E28" s="272" t="s">
        <v>77</v>
      </c>
      <c r="F28" s="272" t="s">
        <v>77</v>
      </c>
      <c r="G28" s="202" t="s">
        <v>77</v>
      </c>
      <c r="H28" s="202" t="s">
        <v>77</v>
      </c>
    </row>
    <row r="29" spans="1:9" ht="12" customHeight="1" x14ac:dyDescent="0.2">
      <c r="A29" s="141"/>
      <c r="B29" s="198">
        <v>2013</v>
      </c>
      <c r="C29" s="202" t="s">
        <v>77</v>
      </c>
      <c r="D29" s="202" t="s">
        <v>77</v>
      </c>
      <c r="E29" s="272" t="s">
        <v>77</v>
      </c>
      <c r="F29" s="272" t="s">
        <v>77</v>
      </c>
      <c r="G29" s="202" t="s">
        <v>77</v>
      </c>
      <c r="H29" s="202" t="s">
        <v>77</v>
      </c>
    </row>
    <row r="30" spans="1:9" ht="12" customHeight="1" x14ac:dyDescent="0.2">
      <c r="A30" s="141"/>
      <c r="B30" s="198">
        <v>2014</v>
      </c>
      <c r="C30" s="196">
        <v>12100</v>
      </c>
      <c r="D30" s="276">
        <v>204</v>
      </c>
      <c r="E30" s="271">
        <v>2541000</v>
      </c>
      <c r="F30" s="271">
        <v>2465000</v>
      </c>
      <c r="G30" s="197">
        <v>311</v>
      </c>
      <c r="H30" s="196">
        <v>765650</v>
      </c>
    </row>
    <row r="31" spans="1:9" ht="12" customHeight="1" x14ac:dyDescent="0.2">
      <c r="A31" s="141"/>
      <c r="B31" s="195">
        <v>2015</v>
      </c>
      <c r="C31" s="196">
        <v>11000</v>
      </c>
      <c r="D31" s="276">
        <v>207</v>
      </c>
      <c r="E31" s="271">
        <v>2222000</v>
      </c>
      <c r="F31" s="271">
        <v>2184000</v>
      </c>
      <c r="G31" s="197">
        <v>278</v>
      </c>
      <c r="H31" s="196">
        <v>606248</v>
      </c>
    </row>
    <row r="32" spans="1:9" ht="12" customHeight="1" x14ac:dyDescent="0.2">
      <c r="A32" s="141"/>
      <c r="B32" s="198">
        <v>2016</v>
      </c>
      <c r="C32" s="196">
        <v>8100</v>
      </c>
      <c r="D32" s="276">
        <v>208</v>
      </c>
      <c r="E32" s="271">
        <v>1659700</v>
      </c>
      <c r="F32" s="271">
        <v>1658000</v>
      </c>
      <c r="G32" s="203">
        <v>175</v>
      </c>
      <c r="H32" s="196">
        <v>290516</v>
      </c>
    </row>
    <row r="33" spans="1:11" ht="12" customHeight="1" x14ac:dyDescent="0.2">
      <c r="A33" s="141"/>
      <c r="B33" s="204">
        <v>2017</v>
      </c>
      <c r="C33" s="196">
        <v>8200</v>
      </c>
      <c r="D33" s="276">
        <v>171</v>
      </c>
      <c r="E33" s="271">
        <v>1410200</v>
      </c>
      <c r="F33" s="271">
        <v>1406000</v>
      </c>
      <c r="G33" s="203">
        <v>299</v>
      </c>
      <c r="H33" s="196">
        <v>420688</v>
      </c>
    </row>
    <row r="34" spans="1:11" ht="12" customHeight="1" x14ac:dyDescent="0.2">
      <c r="A34" s="141"/>
      <c r="B34" s="199">
        <v>2018</v>
      </c>
      <c r="C34" s="196" t="s">
        <v>77</v>
      </c>
      <c r="D34" s="276" t="s">
        <v>77</v>
      </c>
      <c r="E34" s="271" t="s">
        <v>77</v>
      </c>
      <c r="F34" s="271" t="s">
        <v>77</v>
      </c>
      <c r="G34" s="203" t="s">
        <v>77</v>
      </c>
      <c r="H34" s="196" t="s">
        <v>77</v>
      </c>
    </row>
    <row r="35" spans="1:11" ht="12" customHeight="1" x14ac:dyDescent="0.2">
      <c r="A35" s="141"/>
      <c r="B35" s="199">
        <v>2019</v>
      </c>
      <c r="C35" s="196" t="s">
        <v>77</v>
      </c>
      <c r="D35" s="276" t="s">
        <v>77</v>
      </c>
      <c r="E35" s="271" t="s">
        <v>77</v>
      </c>
      <c r="F35" s="271" t="s">
        <v>77</v>
      </c>
      <c r="G35" s="203" t="s">
        <v>77</v>
      </c>
      <c r="H35" s="196" t="s">
        <v>77</v>
      </c>
    </row>
    <row r="36" spans="1:11" ht="12" customHeight="1" x14ac:dyDescent="0.2">
      <c r="A36" s="141"/>
      <c r="B36" s="199">
        <v>2020</v>
      </c>
      <c r="C36" s="196" t="s">
        <v>77</v>
      </c>
      <c r="D36" s="276" t="s">
        <v>77</v>
      </c>
      <c r="E36" s="271" t="s">
        <v>77</v>
      </c>
      <c r="F36" s="271" t="s">
        <v>77</v>
      </c>
      <c r="G36" s="203" t="s">
        <v>77</v>
      </c>
      <c r="H36" s="196" t="s">
        <v>77</v>
      </c>
      <c r="I36" s="469"/>
    </row>
    <row r="37" spans="1:11" ht="12" customHeight="1" x14ac:dyDescent="0.2">
      <c r="B37" s="198"/>
      <c r="C37" s="196"/>
      <c r="D37" s="276"/>
      <c r="E37" s="271"/>
      <c r="F37" s="272"/>
      <c r="G37" s="203"/>
      <c r="H37" s="196"/>
    </row>
    <row r="38" spans="1:11" ht="12" customHeight="1" x14ac:dyDescent="0.2">
      <c r="A38" s="139" t="s">
        <v>65</v>
      </c>
      <c r="B38" s="102">
        <v>2011</v>
      </c>
      <c r="C38" s="196">
        <v>5400</v>
      </c>
      <c r="D38" s="276">
        <v>200</v>
      </c>
      <c r="E38" s="271">
        <v>1080000</v>
      </c>
      <c r="F38" s="271" t="s">
        <v>77</v>
      </c>
      <c r="G38" s="203">
        <v>207</v>
      </c>
      <c r="H38" s="196">
        <v>223200</v>
      </c>
    </row>
    <row r="39" spans="1:11" ht="12" customHeight="1" x14ac:dyDescent="0.2">
      <c r="A39" s="141"/>
      <c r="B39" s="102">
        <v>2012</v>
      </c>
      <c r="C39" s="196">
        <v>5400</v>
      </c>
      <c r="D39" s="276">
        <v>180</v>
      </c>
      <c r="E39" s="271">
        <v>972000</v>
      </c>
      <c r="F39" s="271" t="s">
        <v>77</v>
      </c>
      <c r="G39" s="203">
        <v>247</v>
      </c>
      <c r="H39" s="196">
        <v>239820</v>
      </c>
    </row>
    <row r="40" spans="1:11" ht="12" customHeight="1" x14ac:dyDescent="0.2">
      <c r="A40" s="141"/>
      <c r="B40" s="104">
        <v>2013</v>
      </c>
      <c r="C40" s="196">
        <v>12800</v>
      </c>
      <c r="D40" s="276">
        <v>167</v>
      </c>
      <c r="E40" s="271">
        <v>2150000</v>
      </c>
      <c r="F40" s="271" t="s">
        <v>77</v>
      </c>
      <c r="G40" s="203">
        <v>254</v>
      </c>
      <c r="H40" s="196">
        <v>546200</v>
      </c>
    </row>
    <row r="41" spans="1:11" ht="12" customHeight="1" x14ac:dyDescent="0.2">
      <c r="A41" s="141"/>
      <c r="B41" s="199">
        <v>2014</v>
      </c>
      <c r="C41" s="196">
        <v>12600</v>
      </c>
      <c r="D41" s="276">
        <v>205</v>
      </c>
      <c r="E41" s="271">
        <v>2589000</v>
      </c>
      <c r="F41" s="271">
        <v>2511500</v>
      </c>
      <c r="G41" s="203">
        <v>310</v>
      </c>
      <c r="H41" s="196">
        <v>777833</v>
      </c>
    </row>
    <row r="42" spans="1:11" ht="12" customHeight="1" x14ac:dyDescent="0.2">
      <c r="A42" s="141"/>
      <c r="B42" s="199">
        <v>2015</v>
      </c>
      <c r="C42" s="196">
        <v>11400</v>
      </c>
      <c r="D42" s="276">
        <v>198</v>
      </c>
      <c r="E42" s="271">
        <v>2253000</v>
      </c>
      <c r="F42" s="271">
        <v>2214800</v>
      </c>
      <c r="G42" s="203">
        <v>279</v>
      </c>
      <c r="H42" s="196">
        <v>617804</v>
      </c>
    </row>
    <row r="43" spans="1:11" ht="12" customHeight="1" x14ac:dyDescent="0.2">
      <c r="A43" s="141"/>
      <c r="B43" s="199">
        <v>2016</v>
      </c>
      <c r="C43" s="196">
        <v>8450</v>
      </c>
      <c r="D43" s="276">
        <v>201</v>
      </c>
      <c r="E43" s="271">
        <v>1696700</v>
      </c>
      <c r="F43" s="271">
        <v>1695000</v>
      </c>
      <c r="G43" s="203">
        <v>179</v>
      </c>
      <c r="H43" s="196">
        <v>303355</v>
      </c>
    </row>
    <row r="44" spans="1:11" ht="12" customHeight="1" x14ac:dyDescent="0.2">
      <c r="A44" s="141"/>
      <c r="B44" s="204">
        <v>2017</v>
      </c>
      <c r="C44" s="196">
        <v>8550</v>
      </c>
      <c r="D44" s="276">
        <v>167</v>
      </c>
      <c r="E44" s="271">
        <v>1432800</v>
      </c>
      <c r="F44" s="271">
        <v>1428300</v>
      </c>
      <c r="G44" s="203">
        <v>301</v>
      </c>
      <c r="H44" s="196">
        <v>429811</v>
      </c>
    </row>
    <row r="45" spans="1:11" ht="12" customHeight="1" x14ac:dyDescent="0.2">
      <c r="A45" s="141"/>
      <c r="B45" s="198">
        <v>2018</v>
      </c>
      <c r="C45" s="196">
        <v>7400</v>
      </c>
      <c r="D45" s="276">
        <v>193</v>
      </c>
      <c r="E45" s="271">
        <v>1430000</v>
      </c>
      <c r="F45" s="271">
        <v>1422800</v>
      </c>
      <c r="G45" s="203">
        <v>233</v>
      </c>
      <c r="H45" s="196">
        <v>331088</v>
      </c>
    </row>
    <row r="46" spans="1:11" ht="12" customHeight="1" x14ac:dyDescent="0.2">
      <c r="A46" s="141"/>
      <c r="B46" s="198">
        <v>2019</v>
      </c>
      <c r="C46" s="196">
        <v>7500</v>
      </c>
      <c r="D46" s="276">
        <v>191</v>
      </c>
      <c r="E46" s="271">
        <v>1435000</v>
      </c>
      <c r="F46" s="271">
        <v>1435000</v>
      </c>
      <c r="G46" s="203">
        <v>269</v>
      </c>
      <c r="H46" s="196">
        <v>386303</v>
      </c>
    </row>
    <row r="47" spans="1:11" ht="12" customHeight="1" x14ac:dyDescent="0.2">
      <c r="A47" s="141"/>
      <c r="B47" s="198">
        <v>2020</v>
      </c>
      <c r="C47" s="196">
        <v>8000</v>
      </c>
      <c r="D47" s="276">
        <v>191</v>
      </c>
      <c r="E47" s="271">
        <v>1530000</v>
      </c>
      <c r="F47" s="271">
        <v>1528500</v>
      </c>
      <c r="G47" s="203">
        <v>266</v>
      </c>
      <c r="H47" s="196">
        <v>406245</v>
      </c>
      <c r="I47" s="469"/>
      <c r="J47" s="1" t="s">
        <v>149</v>
      </c>
      <c r="K47" s="263">
        <f>(F47-F46)/F46</f>
        <v>6.5156794425087108E-2</v>
      </c>
    </row>
    <row r="48" spans="1:11" ht="12" customHeight="1" x14ac:dyDescent="0.2">
      <c r="B48" s="198"/>
      <c r="C48" s="196"/>
      <c r="D48" s="276"/>
      <c r="E48" s="271"/>
      <c r="F48" s="271"/>
      <c r="G48" s="203"/>
      <c r="H48" s="196"/>
    </row>
    <row r="49" spans="1:9" ht="12" customHeight="1" x14ac:dyDescent="0.2">
      <c r="A49" s="139" t="s">
        <v>17</v>
      </c>
      <c r="B49" s="102">
        <v>2011</v>
      </c>
      <c r="C49" s="196" t="s">
        <v>77</v>
      </c>
      <c r="D49" s="276" t="s">
        <v>77</v>
      </c>
      <c r="E49" s="271">
        <v>20462000</v>
      </c>
      <c r="F49" s="271" t="s">
        <v>77</v>
      </c>
      <c r="G49" s="203">
        <v>86.1</v>
      </c>
      <c r="H49" s="196">
        <v>1761778</v>
      </c>
    </row>
    <row r="50" spans="1:9" ht="12" customHeight="1" x14ac:dyDescent="0.2">
      <c r="A50" s="145"/>
      <c r="B50" s="102">
        <v>2012</v>
      </c>
      <c r="C50" s="196" t="s">
        <v>77</v>
      </c>
      <c r="D50" s="276" t="s">
        <v>77</v>
      </c>
      <c r="E50" s="271">
        <v>21936000</v>
      </c>
      <c r="F50" s="271" t="s">
        <v>77</v>
      </c>
      <c r="G50" s="203">
        <v>88.8</v>
      </c>
      <c r="H50" s="196">
        <v>1947917</v>
      </c>
    </row>
    <row r="51" spans="1:9" ht="12" customHeight="1" x14ac:dyDescent="0.2">
      <c r="A51" s="145"/>
      <c r="B51" s="102">
        <v>2013</v>
      </c>
      <c r="C51" s="196" t="s">
        <v>77</v>
      </c>
      <c r="D51" s="276" t="s">
        <v>77</v>
      </c>
      <c r="E51" s="271">
        <v>22398000</v>
      </c>
      <c r="F51" s="271" t="s">
        <v>77</v>
      </c>
      <c r="G51" s="203">
        <v>90.4</v>
      </c>
      <c r="H51" s="196">
        <v>2024779</v>
      </c>
    </row>
    <row r="52" spans="1:9" ht="12" customHeight="1" x14ac:dyDescent="0.2">
      <c r="A52" s="145"/>
      <c r="B52" s="102">
        <v>2014</v>
      </c>
      <c r="C52" s="196" t="s">
        <v>77</v>
      </c>
      <c r="D52" s="276" t="s">
        <v>77</v>
      </c>
      <c r="E52" s="271">
        <v>22100000</v>
      </c>
      <c r="F52" s="271" t="s">
        <v>77</v>
      </c>
      <c r="G52" s="203">
        <v>100</v>
      </c>
      <c r="H52" s="196">
        <v>2210000</v>
      </c>
    </row>
    <row r="53" spans="1:9" ht="12" customHeight="1" x14ac:dyDescent="0.2">
      <c r="A53" s="145"/>
      <c r="B53" s="195">
        <v>2015</v>
      </c>
      <c r="C53" s="196" t="s">
        <v>77</v>
      </c>
      <c r="D53" s="276" t="s">
        <v>77</v>
      </c>
      <c r="E53" s="271">
        <v>21600000</v>
      </c>
      <c r="F53" s="271">
        <v>21600000</v>
      </c>
      <c r="G53" s="203">
        <v>73.900000000000006</v>
      </c>
      <c r="H53" s="196">
        <v>1596240</v>
      </c>
    </row>
    <row r="54" spans="1:9" ht="12" customHeight="1" x14ac:dyDescent="0.2">
      <c r="A54" s="145"/>
      <c r="B54" s="204">
        <v>2016</v>
      </c>
      <c r="C54" s="196" t="s">
        <v>77</v>
      </c>
      <c r="D54" s="276" t="s">
        <v>77</v>
      </c>
      <c r="E54" s="271" t="s">
        <v>77</v>
      </c>
      <c r="F54" s="271">
        <v>20829700</v>
      </c>
      <c r="G54" s="203">
        <v>123</v>
      </c>
      <c r="H54" s="196">
        <v>2562053</v>
      </c>
    </row>
    <row r="55" spans="1:9" ht="12" customHeight="1" x14ac:dyDescent="0.2">
      <c r="A55" s="145"/>
      <c r="B55" s="301">
        <v>2017</v>
      </c>
      <c r="C55" s="196" t="s">
        <v>77</v>
      </c>
      <c r="D55" s="276" t="s">
        <v>77</v>
      </c>
      <c r="E55" s="271" t="s">
        <v>77</v>
      </c>
      <c r="F55" s="271">
        <v>18996100</v>
      </c>
      <c r="G55" s="203">
        <v>123</v>
      </c>
      <c r="H55" s="196">
        <v>2336520</v>
      </c>
    </row>
    <row r="56" spans="1:9" ht="12" customHeight="1" x14ac:dyDescent="0.2">
      <c r="B56" s="301">
        <v>2018</v>
      </c>
      <c r="C56" s="196" t="s">
        <v>77</v>
      </c>
      <c r="D56" s="276" t="s">
        <v>77</v>
      </c>
      <c r="E56" s="271" t="s">
        <v>77</v>
      </c>
      <c r="F56" s="271">
        <v>17846300</v>
      </c>
      <c r="G56" s="203">
        <v>104</v>
      </c>
      <c r="H56" s="196">
        <v>1856015</v>
      </c>
    </row>
    <row r="57" spans="1:9" ht="12" customHeight="1" x14ac:dyDescent="0.2">
      <c r="A57" s="179"/>
      <c r="B57" s="301">
        <v>2019</v>
      </c>
      <c r="C57" s="331" t="s">
        <v>77</v>
      </c>
      <c r="D57" s="442" t="s">
        <v>77</v>
      </c>
      <c r="E57" s="337" t="s">
        <v>77</v>
      </c>
      <c r="F57" s="337" t="s">
        <v>82</v>
      </c>
      <c r="G57" s="342" t="s">
        <v>82</v>
      </c>
      <c r="H57" s="331" t="s">
        <v>82</v>
      </c>
    </row>
    <row r="58" spans="1:9" ht="12" customHeight="1" x14ac:dyDescent="0.2">
      <c r="A58" s="441"/>
      <c r="B58" s="447">
        <v>2020</v>
      </c>
      <c r="C58" s="449" t="s">
        <v>77</v>
      </c>
      <c r="D58" s="449" t="s">
        <v>77</v>
      </c>
      <c r="E58" s="448" t="s">
        <v>77</v>
      </c>
      <c r="F58" s="448" t="s">
        <v>82</v>
      </c>
      <c r="G58" s="449" t="s">
        <v>82</v>
      </c>
      <c r="H58" s="449" t="s">
        <v>82</v>
      </c>
      <c r="I58" s="469"/>
    </row>
    <row r="59" spans="1:9" ht="3.75" customHeight="1" x14ac:dyDescent="0.2">
      <c r="A59" s="179"/>
      <c r="B59" s="301"/>
      <c r="C59" s="331"/>
      <c r="D59" s="442"/>
      <c r="E59" s="337"/>
      <c r="F59" s="337"/>
      <c r="G59" s="342"/>
      <c r="H59" s="331"/>
    </row>
    <row r="60" spans="1:9" ht="12" customHeight="1" x14ac:dyDescent="0.2">
      <c r="A60" s="139" t="s">
        <v>18</v>
      </c>
      <c r="B60" s="92">
        <v>2011</v>
      </c>
      <c r="C60" s="205" t="s">
        <v>77</v>
      </c>
      <c r="D60" s="205" t="s">
        <v>77</v>
      </c>
      <c r="E60" s="269">
        <v>5384000</v>
      </c>
      <c r="F60" s="273" t="s">
        <v>77</v>
      </c>
      <c r="G60" s="143">
        <v>33.799999999999997</v>
      </c>
      <c r="H60" s="142">
        <v>181979</v>
      </c>
    </row>
    <row r="61" spans="1:9" ht="12" customHeight="1" x14ac:dyDescent="0.2">
      <c r="A61" s="145"/>
      <c r="B61" s="92">
        <v>2012</v>
      </c>
      <c r="C61" s="205" t="s">
        <v>77</v>
      </c>
      <c r="D61" s="205" t="s">
        <v>77</v>
      </c>
      <c r="E61" s="269">
        <v>5710000</v>
      </c>
      <c r="F61" s="273" t="s">
        <v>77</v>
      </c>
      <c r="G61" s="143">
        <v>32</v>
      </c>
      <c r="H61" s="142">
        <v>182720</v>
      </c>
    </row>
    <row r="62" spans="1:9" ht="12" customHeight="1" x14ac:dyDescent="0.2">
      <c r="A62" s="145"/>
      <c r="B62" s="92">
        <v>2013</v>
      </c>
      <c r="C62" s="205" t="s">
        <v>77</v>
      </c>
      <c r="D62" s="205" t="s">
        <v>77</v>
      </c>
      <c r="E62" s="269">
        <v>5175000</v>
      </c>
      <c r="F62" s="273" t="s">
        <v>77</v>
      </c>
      <c r="G62" s="143">
        <v>34</v>
      </c>
      <c r="H62" s="142">
        <v>175950</v>
      </c>
    </row>
    <row r="63" spans="1:9" ht="12" customHeight="1" x14ac:dyDescent="0.2">
      <c r="A63" s="145"/>
      <c r="B63" s="92">
        <v>2014</v>
      </c>
      <c r="C63" s="205" t="s">
        <v>77</v>
      </c>
      <c r="D63" s="205" t="s">
        <v>77</v>
      </c>
      <c r="E63" s="269">
        <v>5492000</v>
      </c>
      <c r="F63" s="273" t="s">
        <v>77</v>
      </c>
      <c r="G63" s="143">
        <v>41.5</v>
      </c>
      <c r="H63" s="142">
        <v>227918</v>
      </c>
    </row>
    <row r="64" spans="1:9" ht="12" customHeight="1" x14ac:dyDescent="0.2">
      <c r="A64" s="145"/>
      <c r="B64" s="92">
        <v>2015</v>
      </c>
      <c r="C64" s="205" t="s">
        <v>77</v>
      </c>
      <c r="D64" s="205" t="s">
        <v>77</v>
      </c>
      <c r="E64" s="269">
        <v>6097000</v>
      </c>
      <c r="F64" s="269">
        <v>6097000</v>
      </c>
      <c r="G64" s="143">
        <v>45.8</v>
      </c>
      <c r="H64" s="142">
        <v>279243</v>
      </c>
    </row>
    <row r="65" spans="1:11" ht="12" customHeight="1" x14ac:dyDescent="0.2">
      <c r="A65" s="145"/>
      <c r="B65" s="92">
        <v>2016</v>
      </c>
      <c r="C65" s="205" t="s">
        <v>77</v>
      </c>
      <c r="D65" s="205" t="s">
        <v>77</v>
      </c>
      <c r="E65" s="269" t="s">
        <v>77</v>
      </c>
      <c r="F65" s="269">
        <v>6265200</v>
      </c>
      <c r="G65" s="143">
        <v>45.9</v>
      </c>
      <c r="H65" s="142">
        <v>287573</v>
      </c>
    </row>
    <row r="66" spans="1:11" ht="12" customHeight="1" x14ac:dyDescent="0.2">
      <c r="A66" s="145"/>
      <c r="B66" s="92">
        <v>2017</v>
      </c>
      <c r="C66" s="205" t="s">
        <v>77</v>
      </c>
      <c r="D66" s="205" t="s">
        <v>77</v>
      </c>
      <c r="E66" s="269" t="s">
        <v>77</v>
      </c>
      <c r="F66" s="269">
        <v>5553800</v>
      </c>
      <c r="G66" s="143">
        <v>35</v>
      </c>
      <c r="H66" s="142">
        <v>194383</v>
      </c>
    </row>
    <row r="67" spans="1:11" ht="12" customHeight="1" x14ac:dyDescent="0.2">
      <c r="A67" s="179"/>
      <c r="B67" s="92">
        <v>2018</v>
      </c>
      <c r="C67" s="205" t="s">
        <v>77</v>
      </c>
      <c r="D67" s="205" t="s">
        <v>77</v>
      </c>
      <c r="E67" s="269" t="s">
        <v>77</v>
      </c>
      <c r="F67" s="269">
        <v>5451700</v>
      </c>
      <c r="G67" s="143">
        <v>42.2</v>
      </c>
      <c r="H67" s="424">
        <v>230062</v>
      </c>
    </row>
    <row r="68" spans="1:11" ht="12" customHeight="1" x14ac:dyDescent="0.2">
      <c r="A68" s="145"/>
      <c r="B68" s="92">
        <v>2019</v>
      </c>
      <c r="C68" s="205" t="s">
        <v>77</v>
      </c>
      <c r="D68" s="205" t="s">
        <v>77</v>
      </c>
      <c r="E68" s="269" t="s">
        <v>77</v>
      </c>
      <c r="F68" s="273" t="s">
        <v>82</v>
      </c>
      <c r="G68" s="143" t="s">
        <v>82</v>
      </c>
      <c r="H68" s="142" t="s">
        <v>82</v>
      </c>
    </row>
    <row r="69" spans="1:11" ht="12" customHeight="1" x14ac:dyDescent="0.2">
      <c r="A69" s="145"/>
      <c r="B69" s="92">
        <v>2020</v>
      </c>
      <c r="C69" s="331" t="s">
        <v>77</v>
      </c>
      <c r="D69" s="331" t="s">
        <v>77</v>
      </c>
      <c r="E69" s="269" t="s">
        <v>77</v>
      </c>
      <c r="F69" s="273" t="s">
        <v>82</v>
      </c>
      <c r="G69" s="143" t="s">
        <v>82</v>
      </c>
      <c r="H69" s="142" t="s">
        <v>82</v>
      </c>
      <c r="I69" s="469"/>
    </row>
    <row r="70" spans="1:11" ht="12" customHeight="1" x14ac:dyDescent="0.2">
      <c r="B70" s="1"/>
    </row>
    <row r="71" spans="1:11" ht="12" customHeight="1" x14ac:dyDescent="0.2">
      <c r="A71" s="139" t="s">
        <v>19</v>
      </c>
      <c r="B71" s="92">
        <v>2011</v>
      </c>
      <c r="C71" s="196">
        <v>38000</v>
      </c>
      <c r="D71" s="426">
        <v>680</v>
      </c>
      <c r="E71" s="271">
        <v>25846000</v>
      </c>
      <c r="F71" s="427" t="s">
        <v>77</v>
      </c>
      <c r="G71" s="428">
        <v>75.2</v>
      </c>
      <c r="H71" s="424">
        <v>1943757</v>
      </c>
    </row>
    <row r="72" spans="1:11" ht="12" customHeight="1" x14ac:dyDescent="0.2">
      <c r="A72" s="145"/>
      <c r="B72" s="92">
        <v>2012</v>
      </c>
      <c r="C72" s="196">
        <v>39000</v>
      </c>
      <c r="D72" s="426">
        <v>710</v>
      </c>
      <c r="E72" s="271">
        <v>27646000</v>
      </c>
      <c r="F72" s="427" t="s">
        <v>77</v>
      </c>
      <c r="G72" s="428">
        <v>77.099999999999994</v>
      </c>
      <c r="H72" s="424">
        <v>2130637</v>
      </c>
    </row>
    <row r="73" spans="1:11" ht="12" customHeight="1" x14ac:dyDescent="0.2">
      <c r="A73" s="141"/>
      <c r="B73" s="92">
        <v>2013</v>
      </c>
      <c r="C73" s="196">
        <v>41500</v>
      </c>
      <c r="D73" s="426">
        <v>665</v>
      </c>
      <c r="E73" s="271">
        <v>27573000</v>
      </c>
      <c r="F73" s="427" t="s">
        <v>77</v>
      </c>
      <c r="G73" s="428">
        <v>79.8</v>
      </c>
      <c r="H73" s="424">
        <v>2200729</v>
      </c>
    </row>
    <row r="74" spans="1:11" ht="12" customHeight="1" x14ac:dyDescent="0.2">
      <c r="A74" s="141"/>
      <c r="B74" s="92">
        <v>2014</v>
      </c>
      <c r="C74" s="196">
        <v>41500</v>
      </c>
      <c r="D74" s="426">
        <v>665</v>
      </c>
      <c r="E74" s="271">
        <v>27592000</v>
      </c>
      <c r="F74" s="427" t="s">
        <v>77</v>
      </c>
      <c r="G74" s="428">
        <v>88.4</v>
      </c>
      <c r="H74" s="424">
        <v>2437918</v>
      </c>
    </row>
    <row r="75" spans="1:11" ht="12" customHeight="1" x14ac:dyDescent="0.2">
      <c r="A75" s="141"/>
      <c r="B75" s="92">
        <v>2015</v>
      </c>
      <c r="C75" s="196">
        <v>40500</v>
      </c>
      <c r="D75" s="426">
        <v>685</v>
      </c>
      <c r="E75" s="271">
        <v>27697000</v>
      </c>
      <c r="F75" s="427">
        <v>27697000</v>
      </c>
      <c r="G75" s="428">
        <v>67.7</v>
      </c>
      <c r="H75" s="424">
        <v>1875483</v>
      </c>
    </row>
    <row r="76" spans="1:11" ht="12" customHeight="1" x14ac:dyDescent="0.2">
      <c r="A76" s="141"/>
      <c r="B76" s="92">
        <v>2016</v>
      </c>
      <c r="C76" s="196">
        <v>38200</v>
      </c>
      <c r="D76" s="426">
        <v>710</v>
      </c>
      <c r="E76" s="271">
        <v>27122000</v>
      </c>
      <c r="F76" s="427">
        <v>28973900</v>
      </c>
      <c r="G76" s="428">
        <v>105</v>
      </c>
      <c r="H76" s="424">
        <v>2849626</v>
      </c>
    </row>
    <row r="77" spans="1:11" ht="12" customHeight="1" x14ac:dyDescent="0.2">
      <c r="A77" s="141"/>
      <c r="B77" s="92">
        <v>2017</v>
      </c>
      <c r="C77" s="196">
        <v>38100</v>
      </c>
      <c r="D77" s="426">
        <v>645</v>
      </c>
      <c r="E77" s="271">
        <v>24574500</v>
      </c>
      <c r="F77" s="427">
        <v>24549900</v>
      </c>
      <c r="G77" s="428">
        <v>103</v>
      </c>
      <c r="H77" s="424">
        <v>2530903</v>
      </c>
    </row>
    <row r="78" spans="1:11" ht="12" customHeight="1" x14ac:dyDescent="0.2">
      <c r="B78" s="92">
        <v>2018</v>
      </c>
      <c r="C78" s="196">
        <v>35300</v>
      </c>
      <c r="D78" s="426">
        <v>660</v>
      </c>
      <c r="E78" s="271">
        <v>23298000</v>
      </c>
      <c r="F78" s="427">
        <v>23298000</v>
      </c>
      <c r="G78" s="428">
        <v>89.5</v>
      </c>
      <c r="H78" s="424">
        <v>2086077</v>
      </c>
    </row>
    <row r="79" spans="1:11" ht="12" customHeight="1" x14ac:dyDescent="0.2">
      <c r="B79" s="92">
        <v>2019</v>
      </c>
      <c r="C79" s="196">
        <v>34100</v>
      </c>
      <c r="D79" s="426">
        <v>610</v>
      </c>
      <c r="E79" s="271">
        <v>20800000</v>
      </c>
      <c r="F79" s="427">
        <v>20770000</v>
      </c>
      <c r="G79" s="428">
        <v>110</v>
      </c>
      <c r="H79" s="424">
        <v>2286330</v>
      </c>
    </row>
    <row r="80" spans="1:11" ht="12" customHeight="1" thickBot="1" x14ac:dyDescent="0.25">
      <c r="B80" s="92">
        <v>2020</v>
      </c>
      <c r="C80" s="196">
        <v>33100</v>
      </c>
      <c r="D80" s="426">
        <v>650</v>
      </c>
      <c r="E80" s="271">
        <v>21500000</v>
      </c>
      <c r="F80" s="427">
        <v>21460000</v>
      </c>
      <c r="G80" s="428">
        <v>92.7</v>
      </c>
      <c r="H80" s="424">
        <v>1989170</v>
      </c>
      <c r="I80" s="469"/>
      <c r="J80" s="1" t="s">
        <v>149</v>
      </c>
      <c r="K80" s="263">
        <f>(F80-F79)/F79</f>
        <v>3.3220991815117958E-2</v>
      </c>
    </row>
    <row r="81" spans="1:8" s="164" customFormat="1" ht="13.5" customHeight="1" x14ac:dyDescent="0.15">
      <c r="A81" s="553" t="s">
        <v>69</v>
      </c>
      <c r="B81" s="553"/>
      <c r="C81" s="553"/>
      <c r="D81" s="553"/>
      <c r="E81" s="553"/>
      <c r="F81" s="553"/>
      <c r="G81" s="553"/>
      <c r="H81" s="518"/>
    </row>
    <row r="82" spans="1:8" s="164" customFormat="1" ht="12" customHeight="1" x14ac:dyDescent="0.2">
      <c r="A82" s="519" t="s">
        <v>70</v>
      </c>
      <c r="B82" s="519"/>
      <c r="C82" s="519"/>
      <c r="D82" s="519"/>
      <c r="E82" s="519"/>
      <c r="F82" s="519"/>
      <c r="G82" s="519"/>
    </row>
    <row r="83" spans="1:8" s="164" customFormat="1" ht="12" customHeight="1" x14ac:dyDescent="0.2">
      <c r="A83" s="519" t="s">
        <v>78</v>
      </c>
      <c r="B83" s="519"/>
      <c r="C83" s="519"/>
      <c r="D83" s="519"/>
      <c r="E83" s="519"/>
      <c r="F83" s="519"/>
      <c r="G83" s="519"/>
    </row>
    <row r="84" spans="1:8" s="164" customFormat="1" ht="12" customHeight="1" x14ac:dyDescent="0.2">
      <c r="A84" s="519" t="s">
        <v>141</v>
      </c>
      <c r="B84" s="519"/>
      <c r="C84" s="519"/>
      <c r="D84" s="519"/>
      <c r="E84" s="519"/>
      <c r="F84" s="519"/>
      <c r="G84" s="519"/>
    </row>
    <row r="85" spans="1:8" ht="12" customHeight="1" x14ac:dyDescent="0.2">
      <c r="A85" s="6"/>
      <c r="C85" s="8"/>
      <c r="D85" s="8"/>
      <c r="E85" s="8"/>
      <c r="F85" s="11"/>
      <c r="G85" s="11"/>
    </row>
    <row r="86" spans="1:8" ht="11.1" customHeight="1" x14ac:dyDescent="0.2">
      <c r="A86" s="6"/>
      <c r="C86" s="8"/>
      <c r="D86" s="8"/>
      <c r="E86" s="8"/>
      <c r="F86" s="11"/>
      <c r="G86" s="11"/>
    </row>
    <row r="87" spans="1:8" ht="11.1" customHeight="1" x14ac:dyDescent="0.2">
      <c r="A87" s="466"/>
      <c r="C87" s="8"/>
      <c r="D87" s="8"/>
      <c r="E87" s="8"/>
      <c r="F87" s="11"/>
      <c r="G87" s="11"/>
    </row>
    <row r="88" spans="1:8" ht="11.1" customHeight="1" x14ac:dyDescent="0.2">
      <c r="A88" s="6"/>
      <c r="C88" s="8"/>
      <c r="D88" s="8"/>
      <c r="E88" s="8"/>
      <c r="F88" s="11"/>
      <c r="G88" s="11"/>
    </row>
    <row r="89" spans="1:8" ht="11.1" customHeight="1" x14ac:dyDescent="0.2">
      <c r="A89" s="6"/>
      <c r="C89" s="8"/>
      <c r="D89" s="8"/>
      <c r="E89" s="8"/>
      <c r="F89" s="11"/>
      <c r="G89" s="11"/>
    </row>
    <row r="90" spans="1:8" ht="11.1" customHeight="1" x14ac:dyDescent="0.2">
      <c r="A90" s="6"/>
      <c r="C90" s="8"/>
      <c r="D90" s="8"/>
      <c r="E90" s="8"/>
      <c r="F90" s="11"/>
      <c r="G90" s="11"/>
    </row>
    <row r="91" spans="1:8" ht="11.1" customHeight="1" x14ac:dyDescent="0.2">
      <c r="A91" s="6"/>
      <c r="C91" s="8"/>
      <c r="D91" s="8"/>
      <c r="E91" s="8"/>
      <c r="F91" s="11"/>
      <c r="G91" s="11"/>
    </row>
    <row r="92" spans="1:8" ht="11.1" customHeight="1" x14ac:dyDescent="0.2">
      <c r="A92" s="6"/>
    </row>
    <row r="93" spans="1:8" ht="11.1" customHeight="1" x14ac:dyDescent="0.2">
      <c r="A93" s="6"/>
      <c r="C93" s="2"/>
      <c r="D93" s="2"/>
      <c r="E93" s="2"/>
      <c r="F93" s="2"/>
      <c r="G93" s="3"/>
    </row>
    <row r="94" spans="1:8" ht="11.1" customHeight="1" x14ac:dyDescent="0.2">
      <c r="A94" s="6"/>
      <c r="C94" s="8"/>
      <c r="D94" s="8"/>
      <c r="E94" s="8"/>
      <c r="F94" s="11"/>
      <c r="G94" s="11"/>
    </row>
    <row r="95" spans="1:8" ht="11.1" customHeight="1" x14ac:dyDescent="0.2">
      <c r="A95" s="6"/>
      <c r="C95" s="8"/>
      <c r="D95" s="8"/>
      <c r="E95" s="8"/>
      <c r="F95" s="11"/>
      <c r="G95" s="11"/>
    </row>
    <row r="96" spans="1:8" ht="11.1" customHeight="1" x14ac:dyDescent="0.2">
      <c r="A96" s="6"/>
      <c r="C96" s="8"/>
      <c r="D96" s="8"/>
      <c r="E96" s="8"/>
      <c r="F96" s="11"/>
      <c r="G96" s="11"/>
    </row>
    <row r="97" spans="1:7" ht="11.1" customHeight="1" x14ac:dyDescent="0.2">
      <c r="A97" s="6"/>
      <c r="C97" s="8"/>
      <c r="D97" s="8"/>
      <c r="E97" s="8"/>
      <c r="F97" s="11"/>
      <c r="G97" s="11"/>
    </row>
    <row r="98" spans="1:7" ht="11.1" customHeight="1" x14ac:dyDescent="0.2">
      <c r="A98" s="6"/>
      <c r="C98" s="8"/>
      <c r="D98" s="8"/>
      <c r="E98" s="8"/>
      <c r="F98" s="11"/>
      <c r="G98" s="11"/>
    </row>
    <row r="99" spans="1:7" ht="11.1" customHeight="1" x14ac:dyDescent="0.2">
      <c r="A99" s="6"/>
      <c r="C99" s="8"/>
      <c r="D99" s="8"/>
      <c r="E99" s="8"/>
      <c r="F99" s="11"/>
      <c r="G99" s="11"/>
    </row>
    <row r="100" spans="1:7" ht="11.1" customHeight="1" x14ac:dyDescent="0.2">
      <c r="A100" s="6"/>
      <c r="C100" s="8"/>
      <c r="D100" s="8"/>
      <c r="E100" s="8"/>
      <c r="F100" s="11"/>
      <c r="G100" s="11"/>
    </row>
    <row r="101" spans="1:7" ht="11.1" customHeight="1" x14ac:dyDescent="0.2">
      <c r="A101" s="6"/>
      <c r="C101" s="8"/>
      <c r="D101" s="8"/>
      <c r="E101" s="8"/>
      <c r="F101" s="11"/>
      <c r="G101" s="11"/>
    </row>
    <row r="102" spans="1:7" ht="11.1" customHeight="1" x14ac:dyDescent="0.2">
      <c r="A102" s="6"/>
      <c r="C102" s="8"/>
      <c r="D102" s="8"/>
      <c r="E102" s="8"/>
      <c r="F102" s="11"/>
      <c r="G102" s="11"/>
    </row>
    <row r="103" spans="1:7" ht="11.1" customHeight="1" x14ac:dyDescent="0.2">
      <c r="A103" s="6"/>
      <c r="C103" s="8"/>
      <c r="D103" s="8"/>
      <c r="E103" s="8"/>
      <c r="F103" s="11"/>
      <c r="G103" s="11"/>
    </row>
    <row r="104" spans="1:7" ht="11.1" customHeight="1" x14ac:dyDescent="0.2">
      <c r="A104" s="6"/>
    </row>
    <row r="105" spans="1:7" ht="11.1" customHeight="1" x14ac:dyDescent="0.2">
      <c r="A105" s="6"/>
      <c r="C105" s="2"/>
      <c r="D105" s="2"/>
      <c r="E105" s="2"/>
      <c r="F105" s="2"/>
      <c r="G105" s="3"/>
    </row>
    <row r="106" spans="1:7" ht="11.1" customHeight="1" x14ac:dyDescent="0.2">
      <c r="A106" s="6"/>
      <c r="C106" s="8"/>
      <c r="D106" s="8"/>
      <c r="E106" s="8"/>
      <c r="F106" s="11"/>
      <c r="G106" s="11"/>
    </row>
    <row r="107" spans="1:7" ht="11.1" customHeight="1" x14ac:dyDescent="0.2">
      <c r="A107" s="6"/>
      <c r="C107" s="8"/>
      <c r="D107" s="8"/>
      <c r="E107" s="8"/>
      <c r="F107" s="11"/>
      <c r="G107" s="11"/>
    </row>
    <row r="108" spans="1:7" ht="11.1" customHeight="1" x14ac:dyDescent="0.2">
      <c r="A108" s="6"/>
      <c r="C108" s="8"/>
      <c r="D108" s="8"/>
      <c r="E108" s="8"/>
      <c r="F108" s="11"/>
      <c r="G108" s="11"/>
    </row>
    <row r="109" spans="1:7" ht="11.1" customHeight="1" x14ac:dyDescent="0.2">
      <c r="A109" s="6"/>
      <c r="C109" s="8"/>
      <c r="D109" s="8"/>
      <c r="E109" s="8"/>
      <c r="F109" s="11"/>
      <c r="G109" s="11"/>
    </row>
    <row r="110" spans="1:7" ht="11.1" customHeight="1" x14ac:dyDescent="0.2">
      <c r="A110" s="6"/>
      <c r="C110" s="8"/>
      <c r="D110" s="8"/>
      <c r="E110" s="8"/>
      <c r="F110" s="11"/>
      <c r="G110" s="11"/>
    </row>
    <row r="111" spans="1:7" ht="11.1" customHeight="1" x14ac:dyDescent="0.2">
      <c r="A111" s="6"/>
      <c r="C111" s="8"/>
      <c r="D111" s="8"/>
      <c r="E111" s="8"/>
      <c r="F111" s="11"/>
      <c r="G111" s="11"/>
    </row>
    <row r="112" spans="1:7" ht="11.1" customHeight="1" x14ac:dyDescent="0.2">
      <c r="A112" s="6"/>
      <c r="C112" s="8"/>
      <c r="D112" s="8"/>
      <c r="E112" s="8"/>
      <c r="F112" s="11"/>
      <c r="G112" s="11"/>
    </row>
    <row r="113" spans="1:7" ht="11.1" customHeight="1" x14ac:dyDescent="0.2">
      <c r="A113" s="6"/>
      <c r="C113" s="8"/>
      <c r="D113" s="8"/>
      <c r="E113" s="8"/>
      <c r="F113" s="11"/>
      <c r="G113" s="11"/>
    </row>
    <row r="114" spans="1:7" ht="11.1" customHeight="1" x14ac:dyDescent="0.2">
      <c r="A114" s="6"/>
      <c r="C114" s="8"/>
      <c r="D114" s="8"/>
      <c r="E114" s="8"/>
      <c r="F114" s="11"/>
      <c r="G114" s="11"/>
    </row>
    <row r="115" spans="1:7" ht="11.1" customHeight="1" x14ac:dyDescent="0.2">
      <c r="A115" s="6"/>
      <c r="C115" s="8"/>
      <c r="D115" s="8"/>
      <c r="E115" s="8"/>
      <c r="F115" s="11"/>
      <c r="G115" s="11"/>
    </row>
    <row r="116" spans="1:7" ht="11.1" customHeight="1" x14ac:dyDescent="0.2">
      <c r="A116" s="6"/>
    </row>
    <row r="117" spans="1:7" ht="11.1" customHeight="1" x14ac:dyDescent="0.2">
      <c r="A117" s="6"/>
      <c r="C117" s="2"/>
      <c r="D117" s="2"/>
      <c r="E117" s="2"/>
      <c r="F117" s="2"/>
      <c r="G117" s="3"/>
    </row>
    <row r="118" spans="1:7" ht="11.1" customHeight="1" x14ac:dyDescent="0.2">
      <c r="A118" s="6"/>
      <c r="C118" s="8"/>
      <c r="D118" s="8"/>
      <c r="E118" s="8"/>
      <c r="F118" s="11"/>
      <c r="G118" s="11"/>
    </row>
    <row r="119" spans="1:7" ht="11.1" customHeight="1" x14ac:dyDescent="0.2">
      <c r="A119" s="6"/>
      <c r="C119" s="8"/>
      <c r="D119" s="8"/>
      <c r="E119" s="8"/>
      <c r="F119" s="11"/>
      <c r="G119" s="11"/>
    </row>
    <row r="120" spans="1:7" ht="11.1" customHeight="1" x14ac:dyDescent="0.2">
      <c r="A120" s="6"/>
      <c r="C120" s="8"/>
      <c r="D120" s="8"/>
      <c r="E120" s="8"/>
      <c r="F120" s="11"/>
      <c r="G120" s="11"/>
    </row>
    <row r="121" spans="1:7" ht="11.1" customHeight="1" x14ac:dyDescent="0.2">
      <c r="A121" s="6"/>
      <c r="C121" s="8"/>
      <c r="D121" s="8"/>
      <c r="E121" s="8"/>
      <c r="F121" s="11"/>
      <c r="G121" s="11"/>
    </row>
    <row r="122" spans="1:7" ht="11.1" customHeight="1" x14ac:dyDescent="0.2">
      <c r="A122" s="6"/>
      <c r="C122" s="8"/>
      <c r="D122" s="8"/>
      <c r="E122" s="8"/>
      <c r="F122" s="11"/>
      <c r="G122" s="11"/>
    </row>
    <row r="123" spans="1:7" ht="11.1" customHeight="1" x14ac:dyDescent="0.2">
      <c r="A123" s="6"/>
      <c r="C123" s="8"/>
      <c r="D123" s="8"/>
      <c r="E123" s="8"/>
      <c r="F123" s="11"/>
      <c r="G123" s="11"/>
    </row>
    <row r="124" spans="1:7" ht="11.1" customHeight="1" x14ac:dyDescent="0.2">
      <c r="A124" s="6"/>
      <c r="C124" s="8"/>
      <c r="D124" s="8"/>
      <c r="E124" s="8"/>
      <c r="F124" s="11"/>
      <c r="G124" s="11"/>
    </row>
    <row r="125" spans="1:7" ht="11.1" customHeight="1" x14ac:dyDescent="0.2">
      <c r="A125" s="6"/>
      <c r="C125" s="8"/>
      <c r="D125" s="8"/>
      <c r="E125" s="8"/>
      <c r="F125" s="11"/>
      <c r="G125" s="11"/>
    </row>
    <row r="126" spans="1:7" ht="11.1" customHeight="1" x14ac:dyDescent="0.2">
      <c r="A126" s="6"/>
      <c r="C126" s="8"/>
      <c r="D126" s="8"/>
      <c r="E126" s="8"/>
      <c r="F126" s="11"/>
      <c r="G126" s="11"/>
    </row>
    <row r="127" spans="1:7" ht="11.1" customHeight="1" x14ac:dyDescent="0.2">
      <c r="A127" s="6"/>
      <c r="C127" s="8"/>
      <c r="D127" s="8"/>
      <c r="E127" s="8"/>
      <c r="F127" s="11"/>
      <c r="G127" s="11"/>
    </row>
    <row r="128" spans="1:7" ht="11.1" customHeight="1" x14ac:dyDescent="0.2">
      <c r="A128" s="6"/>
    </row>
    <row r="129" spans="1:7" ht="11.1" customHeight="1" x14ac:dyDescent="0.2">
      <c r="A129" s="6"/>
      <c r="C129" s="2"/>
      <c r="D129" s="2"/>
      <c r="E129" s="2"/>
      <c r="F129" s="2"/>
      <c r="G129" s="3"/>
    </row>
    <row r="130" spans="1:7" ht="11.1" customHeight="1" x14ac:dyDescent="0.2">
      <c r="A130" s="6"/>
      <c r="C130" s="8"/>
      <c r="D130" s="8"/>
      <c r="E130" s="8"/>
      <c r="F130" s="11"/>
      <c r="G130" s="11"/>
    </row>
    <row r="131" spans="1:7" ht="11.1" customHeight="1" x14ac:dyDescent="0.2">
      <c r="A131" s="6"/>
      <c r="C131" s="8"/>
      <c r="D131" s="8"/>
      <c r="E131" s="8"/>
      <c r="F131" s="11"/>
      <c r="G131" s="11"/>
    </row>
    <row r="132" spans="1:7" ht="11.1" customHeight="1" x14ac:dyDescent="0.2">
      <c r="A132" s="6"/>
      <c r="C132" s="8"/>
      <c r="D132" s="8"/>
      <c r="E132" s="8"/>
      <c r="F132" s="11"/>
      <c r="G132" s="11"/>
    </row>
    <row r="133" spans="1:7" ht="11.1" customHeight="1" x14ac:dyDescent="0.2">
      <c r="A133" s="6"/>
      <c r="C133" s="8"/>
      <c r="D133" s="8"/>
      <c r="E133" s="8"/>
      <c r="F133" s="11"/>
      <c r="G133" s="11"/>
    </row>
    <row r="134" spans="1:7" ht="11.1" customHeight="1" x14ac:dyDescent="0.2">
      <c r="A134" s="6"/>
      <c r="C134" s="8"/>
      <c r="D134" s="8"/>
      <c r="E134" s="8"/>
      <c r="F134" s="11"/>
      <c r="G134" s="11"/>
    </row>
    <row r="135" spans="1:7" ht="11.1" customHeight="1" x14ac:dyDescent="0.2">
      <c r="A135" s="6"/>
      <c r="C135" s="8"/>
      <c r="D135" s="8"/>
      <c r="E135" s="8"/>
      <c r="F135" s="11"/>
      <c r="G135" s="11"/>
    </row>
    <row r="136" spans="1:7" ht="11.1" customHeight="1" x14ac:dyDescent="0.2">
      <c r="A136" s="6"/>
      <c r="C136" s="8"/>
      <c r="D136" s="8"/>
      <c r="E136" s="8"/>
      <c r="F136" s="11"/>
      <c r="G136" s="11"/>
    </row>
    <row r="137" spans="1:7" ht="11.1" customHeight="1" x14ac:dyDescent="0.2">
      <c r="A137" s="6"/>
      <c r="C137" s="8"/>
      <c r="D137" s="8"/>
      <c r="E137" s="8"/>
      <c r="F137" s="11"/>
      <c r="G137" s="11"/>
    </row>
    <row r="138" spans="1:7" ht="11.1" customHeight="1" x14ac:dyDescent="0.2">
      <c r="A138" s="6"/>
      <c r="C138" s="8"/>
      <c r="D138" s="8"/>
      <c r="E138" s="8"/>
      <c r="F138" s="11"/>
      <c r="G138" s="11"/>
    </row>
    <row r="139" spans="1:7" ht="11.1" customHeight="1" x14ac:dyDescent="0.2">
      <c r="A139" s="6"/>
      <c r="C139" s="8"/>
      <c r="D139" s="8"/>
      <c r="E139" s="8"/>
      <c r="F139" s="11"/>
      <c r="G139" s="11"/>
    </row>
    <row r="140" spans="1:7" ht="11.1" customHeight="1" x14ac:dyDescent="0.2">
      <c r="A140" s="6"/>
    </row>
    <row r="141" spans="1:7" ht="11.1" customHeight="1" x14ac:dyDescent="0.2">
      <c r="A141" s="6"/>
      <c r="C141" s="2"/>
      <c r="D141" s="2"/>
      <c r="E141" s="2"/>
      <c r="F141" s="2"/>
      <c r="G141" s="3"/>
    </row>
    <row r="142" spans="1:7" ht="11.1" customHeight="1" x14ac:dyDescent="0.2">
      <c r="A142" s="6"/>
      <c r="C142" s="8"/>
      <c r="D142" s="8"/>
      <c r="E142" s="8"/>
      <c r="F142" s="9"/>
      <c r="G142" s="8"/>
    </row>
    <row r="143" spans="1:7" ht="11.1" customHeight="1" x14ac:dyDescent="0.2">
      <c r="A143" s="6"/>
      <c r="C143" s="8"/>
      <c r="D143" s="8"/>
      <c r="E143" s="8"/>
      <c r="F143" s="9"/>
      <c r="G143" s="8"/>
    </row>
    <row r="144" spans="1:7" ht="11.1" customHeight="1" x14ac:dyDescent="0.2">
      <c r="A144" s="6"/>
      <c r="C144" s="8"/>
      <c r="D144" s="8"/>
      <c r="E144" s="8"/>
      <c r="F144" s="9"/>
      <c r="G144" s="8"/>
    </row>
    <row r="145" spans="1:7" ht="11.1" customHeight="1" x14ac:dyDescent="0.2">
      <c r="A145" s="6"/>
      <c r="C145" s="8"/>
      <c r="D145" s="8"/>
      <c r="E145" s="8"/>
      <c r="F145" s="9"/>
      <c r="G145" s="8"/>
    </row>
    <row r="146" spans="1:7" ht="11.1" customHeight="1" x14ac:dyDescent="0.2">
      <c r="A146" s="6"/>
      <c r="C146" s="8"/>
      <c r="D146" s="8"/>
      <c r="E146" s="8"/>
      <c r="F146" s="9"/>
      <c r="G146" s="8"/>
    </row>
    <row r="147" spans="1:7" ht="11.1" customHeight="1" x14ac:dyDescent="0.2">
      <c r="A147" s="6"/>
      <c r="C147" s="8"/>
      <c r="D147" s="8"/>
      <c r="E147" s="8"/>
      <c r="F147" s="9"/>
      <c r="G147" s="8"/>
    </row>
    <row r="148" spans="1:7" ht="11.1" customHeight="1" x14ac:dyDescent="0.2">
      <c r="A148" s="6"/>
      <c r="C148" s="8"/>
      <c r="D148" s="8"/>
      <c r="E148" s="8"/>
      <c r="F148" s="9"/>
      <c r="G148" s="8"/>
    </row>
    <row r="149" spans="1:7" ht="11.1" customHeight="1" x14ac:dyDescent="0.2">
      <c r="A149" s="6"/>
      <c r="C149" s="8"/>
      <c r="D149" s="8"/>
      <c r="E149" s="8"/>
      <c r="F149" s="9"/>
      <c r="G149" s="8"/>
    </row>
    <row r="150" spans="1:7" ht="11.1" customHeight="1" x14ac:dyDescent="0.2">
      <c r="A150" s="6"/>
      <c r="C150" s="8"/>
      <c r="D150" s="8"/>
      <c r="E150" s="8"/>
      <c r="F150" s="9"/>
      <c r="G150" s="8"/>
    </row>
    <row r="151" spans="1:7" ht="11.1" customHeight="1" x14ac:dyDescent="0.2">
      <c r="A151" s="6"/>
      <c r="C151" s="8"/>
      <c r="D151" s="8"/>
      <c r="E151" s="8"/>
      <c r="F151" s="9"/>
      <c r="G151" s="8"/>
    </row>
    <row r="152" spans="1:7" ht="11.1" customHeight="1" x14ac:dyDescent="0.2">
      <c r="A152" s="6"/>
    </row>
    <row r="153" spans="1:7" ht="11.1" customHeight="1" x14ac:dyDescent="0.2">
      <c r="A153" s="6"/>
      <c r="C153" s="2"/>
      <c r="D153" s="2"/>
      <c r="E153" s="2"/>
      <c r="F153" s="2"/>
      <c r="G153" s="3"/>
    </row>
    <row r="154" spans="1:7" ht="11.1" customHeight="1" x14ac:dyDescent="0.2">
      <c r="A154" s="6"/>
      <c r="C154" s="8"/>
      <c r="D154" s="12"/>
      <c r="E154" s="8"/>
      <c r="F154" s="9"/>
      <c r="G154" s="8"/>
    </row>
    <row r="155" spans="1:7" ht="11.1" customHeight="1" x14ac:dyDescent="0.2">
      <c r="A155" s="6"/>
      <c r="C155" s="8"/>
      <c r="D155" s="12"/>
      <c r="E155" s="8"/>
      <c r="F155" s="9"/>
      <c r="G155" s="8"/>
    </row>
    <row r="156" spans="1:7" ht="11.1" customHeight="1" x14ac:dyDescent="0.2">
      <c r="A156" s="6"/>
      <c r="C156" s="8"/>
      <c r="D156" s="12"/>
      <c r="E156" s="8"/>
      <c r="F156" s="9"/>
      <c r="G156" s="8"/>
    </row>
    <row r="157" spans="1:7" ht="11.1" customHeight="1" x14ac:dyDescent="0.2">
      <c r="A157" s="6"/>
      <c r="C157" s="8"/>
      <c r="D157" s="12"/>
      <c r="E157" s="8"/>
      <c r="F157" s="9"/>
      <c r="G157" s="8"/>
    </row>
    <row r="158" spans="1:7" ht="11.1" customHeight="1" x14ac:dyDescent="0.2">
      <c r="A158" s="6"/>
      <c r="C158" s="8"/>
      <c r="D158" s="12"/>
      <c r="E158" s="8"/>
      <c r="F158" s="9"/>
      <c r="G158" s="8"/>
    </row>
    <row r="159" spans="1:7" ht="11.1" customHeight="1" x14ac:dyDescent="0.2">
      <c r="A159" s="6"/>
      <c r="C159" s="8"/>
      <c r="D159" s="12"/>
      <c r="E159" s="8"/>
      <c r="F159" s="9"/>
      <c r="G159" s="8"/>
    </row>
    <row r="160" spans="1:7" ht="11.1" customHeight="1" x14ac:dyDescent="0.2">
      <c r="A160" s="6"/>
      <c r="C160" s="8"/>
      <c r="D160" s="12"/>
      <c r="E160" s="8"/>
      <c r="F160" s="9"/>
      <c r="G160" s="8"/>
    </row>
    <row r="161" spans="1:7" ht="11.1" customHeight="1" x14ac:dyDescent="0.2">
      <c r="A161" s="6"/>
      <c r="C161" s="8"/>
      <c r="D161" s="12"/>
      <c r="E161" s="8"/>
      <c r="F161" s="9"/>
      <c r="G161" s="8"/>
    </row>
    <row r="162" spans="1:7" ht="11.1" customHeight="1" x14ac:dyDescent="0.2">
      <c r="A162" s="6"/>
      <c r="C162" s="8"/>
      <c r="D162" s="12"/>
      <c r="E162" s="8"/>
      <c r="F162" s="9"/>
      <c r="G162" s="8"/>
    </row>
    <row r="163" spans="1:7" ht="11.1" customHeight="1" x14ac:dyDescent="0.2">
      <c r="A163" s="6"/>
      <c r="C163" s="8"/>
      <c r="D163" s="12"/>
      <c r="E163" s="8"/>
      <c r="F163" s="9"/>
      <c r="G163" s="8"/>
    </row>
    <row r="164" spans="1:7" ht="11.1" customHeight="1" x14ac:dyDescent="0.2">
      <c r="A164" s="6"/>
    </row>
    <row r="165" spans="1:7" ht="11.1" customHeight="1" x14ac:dyDescent="0.2">
      <c r="A165" s="6"/>
      <c r="C165" s="2"/>
      <c r="D165" s="2"/>
      <c r="E165" s="2"/>
      <c r="F165" s="2"/>
      <c r="G165" s="3"/>
    </row>
    <row r="166" spans="1:7" ht="11.1" customHeight="1" x14ac:dyDescent="0.2">
      <c r="A166" s="6"/>
      <c r="C166" s="8"/>
      <c r="D166" s="12"/>
      <c r="E166" s="8"/>
      <c r="F166" s="9"/>
      <c r="G166" s="8"/>
    </row>
    <row r="167" spans="1:7" ht="11.1" customHeight="1" x14ac:dyDescent="0.2">
      <c r="A167" s="6"/>
      <c r="C167" s="8"/>
      <c r="D167" s="12"/>
      <c r="E167" s="8"/>
      <c r="F167" s="9"/>
      <c r="G167" s="8"/>
    </row>
    <row r="168" spans="1:7" ht="11.1" customHeight="1" x14ac:dyDescent="0.2">
      <c r="A168" s="6"/>
      <c r="C168" s="8"/>
      <c r="D168" s="12"/>
      <c r="E168" s="8"/>
      <c r="F168" s="9"/>
      <c r="G168" s="8"/>
    </row>
    <row r="169" spans="1:7" ht="11.1" customHeight="1" x14ac:dyDescent="0.2">
      <c r="A169" s="6"/>
      <c r="C169" s="8"/>
      <c r="D169" s="12"/>
      <c r="E169" s="8"/>
      <c r="F169" s="9"/>
      <c r="G169" s="8"/>
    </row>
    <row r="170" spans="1:7" ht="11.1" customHeight="1" x14ac:dyDescent="0.2">
      <c r="A170" s="6"/>
      <c r="C170" s="8"/>
      <c r="D170" s="12"/>
      <c r="E170" s="8"/>
      <c r="F170" s="9"/>
      <c r="G170" s="8"/>
    </row>
    <row r="171" spans="1:7" ht="11.1" customHeight="1" x14ac:dyDescent="0.2">
      <c r="A171" s="6"/>
      <c r="C171" s="8"/>
      <c r="D171" s="12"/>
      <c r="E171" s="8"/>
      <c r="F171" s="9"/>
      <c r="G171" s="8"/>
    </row>
    <row r="172" spans="1:7" ht="11.1" customHeight="1" x14ac:dyDescent="0.2">
      <c r="A172" s="6"/>
      <c r="C172" s="8"/>
      <c r="D172" s="12"/>
      <c r="E172" s="8"/>
      <c r="F172" s="9"/>
      <c r="G172" s="8"/>
    </row>
    <row r="173" spans="1:7" ht="11.1" customHeight="1" x14ac:dyDescent="0.2">
      <c r="A173" s="6"/>
      <c r="C173" s="8"/>
      <c r="D173" s="12"/>
      <c r="E173" s="8"/>
      <c r="F173" s="9"/>
      <c r="G173" s="8"/>
    </row>
    <row r="174" spans="1:7" ht="11.1" customHeight="1" x14ac:dyDescent="0.2">
      <c r="A174" s="6"/>
      <c r="C174" s="8"/>
      <c r="D174" s="12"/>
      <c r="E174" s="8"/>
      <c r="F174" s="9"/>
      <c r="G174" s="8"/>
    </row>
    <row r="175" spans="1:7" ht="11.1" customHeight="1" x14ac:dyDescent="0.2">
      <c r="A175" s="6"/>
      <c r="C175" s="8"/>
      <c r="D175" s="12"/>
      <c r="E175" s="8"/>
      <c r="F175" s="9"/>
      <c r="G175" s="8"/>
    </row>
    <row r="176" spans="1:7" ht="11.1" customHeight="1" x14ac:dyDescent="0.2">
      <c r="A176" s="6"/>
    </row>
    <row r="177" spans="1:7" ht="11.1" customHeight="1" x14ac:dyDescent="0.2">
      <c r="A177" s="6"/>
      <c r="C177" s="2"/>
      <c r="D177" s="2"/>
      <c r="E177" s="2"/>
      <c r="F177" s="2"/>
      <c r="G177" s="3"/>
    </row>
    <row r="178" spans="1:7" ht="11.1" customHeight="1" x14ac:dyDescent="0.2">
      <c r="A178" s="6"/>
      <c r="C178" s="8"/>
      <c r="D178" s="8"/>
      <c r="E178" s="8"/>
      <c r="F178" s="13"/>
      <c r="G178" s="8"/>
    </row>
    <row r="179" spans="1:7" ht="11.1" customHeight="1" x14ac:dyDescent="0.2">
      <c r="A179" s="6"/>
      <c r="C179" s="8"/>
      <c r="D179" s="8"/>
      <c r="E179" s="8"/>
      <c r="F179" s="13"/>
      <c r="G179" s="8"/>
    </row>
    <row r="180" spans="1:7" ht="11.1" customHeight="1" x14ac:dyDescent="0.2">
      <c r="A180" s="6"/>
      <c r="C180" s="8"/>
      <c r="D180" s="8"/>
      <c r="E180" s="8"/>
      <c r="F180" s="13"/>
      <c r="G180" s="8"/>
    </row>
    <row r="181" spans="1:7" ht="11.1" customHeight="1" x14ac:dyDescent="0.2">
      <c r="A181" s="6"/>
      <c r="C181" s="8"/>
      <c r="D181" s="8"/>
      <c r="E181" s="8"/>
      <c r="F181" s="13"/>
      <c r="G181" s="8"/>
    </row>
    <row r="182" spans="1:7" ht="11.1" customHeight="1" x14ac:dyDescent="0.2">
      <c r="A182" s="6"/>
      <c r="C182" s="8"/>
      <c r="D182" s="8"/>
      <c r="E182" s="8"/>
      <c r="F182" s="13"/>
      <c r="G182" s="8"/>
    </row>
    <row r="183" spans="1:7" ht="11.1" customHeight="1" x14ac:dyDescent="0.2">
      <c r="A183" s="6"/>
      <c r="C183" s="8"/>
      <c r="D183" s="8"/>
      <c r="E183" s="8"/>
      <c r="F183" s="13"/>
      <c r="G183" s="8"/>
    </row>
    <row r="184" spans="1:7" ht="11.1" customHeight="1" x14ac:dyDescent="0.2">
      <c r="A184" s="6"/>
      <c r="C184" s="8"/>
      <c r="D184" s="8"/>
      <c r="E184" s="8"/>
      <c r="F184" s="13"/>
      <c r="G184" s="8"/>
    </row>
    <row r="185" spans="1:7" ht="11.1" customHeight="1" x14ac:dyDescent="0.2">
      <c r="A185" s="6"/>
      <c r="C185" s="8"/>
      <c r="D185" s="8"/>
      <c r="E185" s="8"/>
      <c r="F185" s="13"/>
      <c r="G185" s="8"/>
    </row>
    <row r="186" spans="1:7" ht="11.1" customHeight="1" x14ac:dyDescent="0.2">
      <c r="A186" s="6"/>
      <c r="C186" s="8"/>
      <c r="D186" s="8"/>
      <c r="E186" s="8"/>
      <c r="F186" s="13"/>
      <c r="G186" s="8"/>
    </row>
    <row r="187" spans="1:7" ht="11.1" customHeight="1" x14ac:dyDescent="0.2">
      <c r="A187" s="6"/>
      <c r="C187" s="8"/>
      <c r="D187" s="8"/>
      <c r="E187" s="8"/>
      <c r="F187" s="13"/>
      <c r="G187" s="8"/>
    </row>
    <row r="188" spans="1:7" ht="11.1" customHeight="1" x14ac:dyDescent="0.2">
      <c r="A188" s="6"/>
    </row>
    <row r="189" spans="1:7" ht="11.1" customHeight="1" x14ac:dyDescent="0.2">
      <c r="A189" s="6"/>
      <c r="C189" s="2"/>
      <c r="D189" s="2"/>
      <c r="E189" s="2"/>
      <c r="F189" s="2"/>
      <c r="G189" s="3"/>
    </row>
    <row r="190" spans="1:7" ht="11.1" customHeight="1" x14ac:dyDescent="0.2">
      <c r="A190" s="6"/>
      <c r="C190" s="8"/>
      <c r="D190" s="8"/>
      <c r="E190" s="8"/>
      <c r="F190" s="13"/>
      <c r="G190" s="8"/>
    </row>
    <row r="191" spans="1:7" ht="11.1" customHeight="1" x14ac:dyDescent="0.2">
      <c r="A191" s="6"/>
      <c r="C191" s="8"/>
      <c r="D191" s="8"/>
      <c r="E191" s="8"/>
      <c r="F191" s="13"/>
      <c r="G191" s="8"/>
    </row>
    <row r="192" spans="1:7" ht="11.1" customHeight="1" x14ac:dyDescent="0.2">
      <c r="A192" s="6"/>
      <c r="C192" s="8"/>
      <c r="D192" s="8"/>
      <c r="E192" s="8"/>
      <c r="F192" s="13"/>
      <c r="G192" s="8"/>
    </row>
    <row r="193" spans="1:7" ht="11.1" customHeight="1" x14ac:dyDescent="0.2">
      <c r="A193" s="6"/>
      <c r="C193" s="8"/>
      <c r="D193" s="8"/>
      <c r="E193" s="8"/>
      <c r="F193" s="13"/>
      <c r="G193" s="8"/>
    </row>
    <row r="194" spans="1:7" ht="11.1" customHeight="1" x14ac:dyDescent="0.2">
      <c r="A194" s="6"/>
      <c r="C194" s="8"/>
      <c r="D194" s="8"/>
      <c r="E194" s="8"/>
      <c r="F194" s="13"/>
      <c r="G194" s="8"/>
    </row>
    <row r="195" spans="1:7" ht="11.1" customHeight="1" x14ac:dyDescent="0.2">
      <c r="A195" s="6"/>
      <c r="C195" s="8"/>
      <c r="D195" s="8"/>
      <c r="E195" s="8"/>
      <c r="F195" s="13"/>
      <c r="G195" s="8"/>
    </row>
    <row r="196" spans="1:7" ht="11.1" customHeight="1" x14ac:dyDescent="0.2">
      <c r="A196" s="6"/>
      <c r="C196" s="8"/>
      <c r="D196" s="8"/>
      <c r="E196" s="8"/>
      <c r="F196" s="13"/>
      <c r="G196" s="8"/>
    </row>
    <row r="197" spans="1:7" ht="11.1" customHeight="1" x14ac:dyDescent="0.2">
      <c r="A197" s="6"/>
      <c r="C197" s="8"/>
      <c r="D197" s="8"/>
      <c r="E197" s="8"/>
      <c r="F197" s="13"/>
      <c r="G197" s="8"/>
    </row>
    <row r="198" spans="1:7" ht="11.1" customHeight="1" x14ac:dyDescent="0.2">
      <c r="A198" s="6"/>
      <c r="C198" s="8"/>
      <c r="D198" s="8"/>
      <c r="E198" s="8"/>
      <c r="F198" s="13"/>
      <c r="G198" s="8"/>
    </row>
    <row r="199" spans="1:7" ht="11.1" customHeight="1" x14ac:dyDescent="0.2">
      <c r="A199" s="6"/>
      <c r="C199" s="8"/>
      <c r="D199" s="8"/>
      <c r="E199" s="8"/>
      <c r="F199" s="13"/>
      <c r="G199" s="8"/>
    </row>
    <row r="200" spans="1:7" ht="11.1" customHeight="1" x14ac:dyDescent="0.2">
      <c r="A200" s="6"/>
    </row>
    <row r="201" spans="1:7" ht="11.1" customHeight="1" x14ac:dyDescent="0.2">
      <c r="A201" s="6"/>
      <c r="C201" s="2"/>
      <c r="D201" s="2"/>
      <c r="E201" s="2"/>
      <c r="F201" s="2"/>
      <c r="G201" s="3"/>
    </row>
    <row r="202" spans="1:7" ht="11.1" customHeight="1" x14ac:dyDescent="0.2">
      <c r="A202" s="6"/>
      <c r="C202" s="8"/>
      <c r="D202" s="8"/>
      <c r="E202" s="8"/>
      <c r="F202" s="13"/>
      <c r="G202" s="8"/>
    </row>
    <row r="203" spans="1:7" ht="11.1" customHeight="1" x14ac:dyDescent="0.2">
      <c r="A203" s="6"/>
      <c r="C203" s="8"/>
      <c r="D203" s="8"/>
      <c r="E203" s="8"/>
      <c r="F203" s="13"/>
      <c r="G203" s="8"/>
    </row>
    <row r="204" spans="1:7" ht="11.1" customHeight="1" x14ac:dyDescent="0.2">
      <c r="A204" s="6"/>
      <c r="C204" s="8"/>
      <c r="D204" s="8"/>
      <c r="E204" s="8"/>
      <c r="F204" s="13"/>
      <c r="G204" s="8"/>
    </row>
    <row r="205" spans="1:7" ht="11.1" customHeight="1" x14ac:dyDescent="0.2">
      <c r="A205" s="6"/>
      <c r="C205" s="8"/>
      <c r="D205" s="8"/>
      <c r="E205" s="8"/>
      <c r="F205" s="13"/>
      <c r="G205" s="8"/>
    </row>
    <row r="206" spans="1:7" ht="11.1" customHeight="1" x14ac:dyDescent="0.2">
      <c r="A206" s="6"/>
      <c r="C206" s="8"/>
      <c r="D206" s="8"/>
      <c r="E206" s="8"/>
      <c r="F206" s="13"/>
      <c r="G206" s="8"/>
    </row>
    <row r="207" spans="1:7" ht="11.1" customHeight="1" x14ac:dyDescent="0.2">
      <c r="A207" s="6"/>
      <c r="C207" s="8"/>
      <c r="D207" s="8"/>
      <c r="E207" s="8"/>
      <c r="F207" s="13"/>
      <c r="G207" s="8"/>
    </row>
    <row r="208" spans="1:7" ht="11.1" customHeight="1" x14ac:dyDescent="0.2">
      <c r="A208" s="6"/>
      <c r="C208" s="8"/>
      <c r="D208" s="8"/>
      <c r="E208" s="8"/>
      <c r="F208" s="13"/>
      <c r="G208" s="8"/>
    </row>
    <row r="209" spans="1:7" ht="11.1" customHeight="1" x14ac:dyDescent="0.2">
      <c r="A209" s="6"/>
      <c r="C209" s="8"/>
      <c r="D209" s="8"/>
      <c r="E209" s="8"/>
      <c r="F209" s="13"/>
      <c r="G209" s="8"/>
    </row>
    <row r="210" spans="1:7" ht="11.1" customHeight="1" x14ac:dyDescent="0.2">
      <c r="A210" s="6"/>
      <c r="C210" s="8"/>
      <c r="D210" s="8"/>
      <c r="E210" s="8"/>
      <c r="F210" s="13"/>
      <c r="G210" s="8"/>
    </row>
    <row r="211" spans="1:7" ht="11.1" customHeight="1" x14ac:dyDescent="0.2">
      <c r="A211" s="6"/>
      <c r="C211" s="8"/>
      <c r="D211" s="8"/>
      <c r="E211" s="8"/>
      <c r="F211" s="13"/>
      <c r="G211" s="8"/>
    </row>
    <row r="212" spans="1:7" ht="11.1" customHeight="1" x14ac:dyDescent="0.2">
      <c r="A212" s="6"/>
    </row>
    <row r="213" spans="1:7" ht="11.1" customHeight="1" x14ac:dyDescent="0.2">
      <c r="A213" s="6"/>
      <c r="C213" s="2"/>
      <c r="D213" s="2"/>
      <c r="E213" s="2"/>
      <c r="F213" s="2"/>
      <c r="G213" s="3"/>
    </row>
    <row r="214" spans="1:7" ht="11.1" customHeight="1" x14ac:dyDescent="0.2">
      <c r="A214" s="6"/>
      <c r="C214" s="8"/>
      <c r="D214" s="8"/>
      <c r="E214" s="8"/>
      <c r="F214" s="9"/>
      <c r="G214" s="8"/>
    </row>
    <row r="215" spans="1:7" ht="11.1" customHeight="1" x14ac:dyDescent="0.2">
      <c r="A215" s="6"/>
      <c r="C215" s="8"/>
      <c r="D215" s="8"/>
      <c r="E215" s="8"/>
      <c r="F215" s="9"/>
      <c r="G215" s="8"/>
    </row>
    <row r="216" spans="1:7" ht="11.1" customHeight="1" x14ac:dyDescent="0.2">
      <c r="A216" s="6"/>
      <c r="C216" s="8"/>
      <c r="D216" s="8"/>
      <c r="E216" s="8"/>
      <c r="F216" s="9"/>
      <c r="G216" s="8"/>
    </row>
    <row r="217" spans="1:7" ht="11.1" customHeight="1" x14ac:dyDescent="0.2">
      <c r="A217" s="6"/>
      <c r="C217" s="8"/>
      <c r="D217" s="8"/>
      <c r="E217" s="8"/>
      <c r="F217" s="9"/>
      <c r="G217" s="8"/>
    </row>
    <row r="218" spans="1:7" ht="11.1" customHeight="1" x14ac:dyDescent="0.2">
      <c r="A218" s="6"/>
      <c r="C218" s="8"/>
      <c r="D218" s="8"/>
      <c r="E218" s="8"/>
      <c r="F218" s="9"/>
      <c r="G218" s="8"/>
    </row>
    <row r="219" spans="1:7" ht="11.1" customHeight="1" x14ac:dyDescent="0.2">
      <c r="A219" s="6"/>
      <c r="C219" s="8"/>
      <c r="D219" s="8"/>
      <c r="E219" s="8"/>
      <c r="F219" s="9"/>
      <c r="G219" s="8"/>
    </row>
    <row r="220" spans="1:7" ht="11.1" customHeight="1" x14ac:dyDescent="0.2">
      <c r="A220" s="6"/>
      <c r="C220" s="8"/>
      <c r="D220" s="8"/>
      <c r="E220" s="8"/>
      <c r="F220" s="9"/>
      <c r="G220" s="8"/>
    </row>
    <row r="221" spans="1:7" ht="11.1" customHeight="1" x14ac:dyDescent="0.2">
      <c r="A221" s="6"/>
      <c r="C221" s="8"/>
      <c r="D221" s="8"/>
      <c r="E221" s="8"/>
      <c r="F221" s="9"/>
      <c r="G221" s="8"/>
    </row>
    <row r="222" spans="1:7" ht="11.1" customHeight="1" x14ac:dyDescent="0.2">
      <c r="A222" s="6"/>
      <c r="C222" s="8"/>
      <c r="D222" s="8"/>
      <c r="E222" s="8"/>
      <c r="F222" s="9"/>
      <c r="G222" s="8"/>
    </row>
    <row r="223" spans="1:7" ht="11.1" customHeight="1" x14ac:dyDescent="0.2">
      <c r="A223" s="6"/>
      <c r="C223" s="8"/>
      <c r="D223" s="8"/>
      <c r="E223" s="8"/>
      <c r="F223" s="9"/>
      <c r="G223" s="8"/>
    </row>
    <row r="224" spans="1:7" ht="11.1" customHeight="1" x14ac:dyDescent="0.2">
      <c r="A224" s="6"/>
    </row>
    <row r="225" spans="1:7" ht="11.1" customHeight="1" x14ac:dyDescent="0.2">
      <c r="A225" s="6"/>
      <c r="C225" s="2"/>
      <c r="D225" s="2"/>
      <c r="E225" s="2"/>
      <c r="F225" s="2"/>
      <c r="G225" s="3"/>
    </row>
    <row r="226" spans="1:7" ht="11.1" customHeight="1" x14ac:dyDescent="0.2">
      <c r="A226" s="6"/>
      <c r="C226" s="8"/>
      <c r="D226" s="12"/>
      <c r="E226" s="8"/>
      <c r="F226" s="9"/>
      <c r="G226" s="8"/>
    </row>
    <row r="227" spans="1:7" ht="11.1" customHeight="1" x14ac:dyDescent="0.2">
      <c r="A227" s="6"/>
      <c r="C227" s="8"/>
      <c r="D227" s="12"/>
      <c r="E227" s="8"/>
      <c r="F227" s="9"/>
      <c r="G227" s="8"/>
    </row>
    <row r="228" spans="1:7" ht="11.1" customHeight="1" x14ac:dyDescent="0.2">
      <c r="A228" s="6"/>
      <c r="C228" s="8"/>
      <c r="D228" s="12"/>
      <c r="E228" s="8"/>
      <c r="F228" s="9"/>
      <c r="G228" s="8"/>
    </row>
    <row r="229" spans="1:7" ht="11.1" customHeight="1" x14ac:dyDescent="0.2">
      <c r="A229" s="6"/>
    </row>
    <row r="230" spans="1:7" ht="11.1" customHeight="1" x14ac:dyDescent="0.2">
      <c r="A230" s="6"/>
      <c r="C230" s="2"/>
      <c r="D230" s="2"/>
      <c r="E230" s="2"/>
      <c r="F230" s="2"/>
      <c r="G230" s="3"/>
    </row>
    <row r="231" spans="1:7" ht="11.1" customHeight="1" x14ac:dyDescent="0.2">
      <c r="A231" s="6"/>
      <c r="C231" s="8"/>
      <c r="D231" s="12"/>
      <c r="E231" s="8"/>
      <c r="F231" s="9"/>
      <c r="G231" s="8"/>
    </row>
    <row r="232" spans="1:7" ht="11.1" customHeight="1" x14ac:dyDescent="0.2">
      <c r="A232" s="6"/>
      <c r="C232" s="8"/>
      <c r="D232" s="12"/>
      <c r="E232" s="8"/>
      <c r="F232" s="9"/>
      <c r="G232" s="8"/>
    </row>
    <row r="233" spans="1:7" ht="11.1" customHeight="1" x14ac:dyDescent="0.2">
      <c r="A233" s="6"/>
      <c r="C233" s="8"/>
      <c r="D233" s="12"/>
      <c r="E233" s="8"/>
      <c r="F233" s="9"/>
      <c r="G233" s="8"/>
    </row>
    <row r="234" spans="1:7" ht="11.1" customHeight="1" x14ac:dyDescent="0.2">
      <c r="A234" s="6"/>
    </row>
    <row r="235" spans="1:7" ht="11.1" customHeight="1" x14ac:dyDescent="0.2">
      <c r="A235" s="6"/>
      <c r="C235" s="2"/>
      <c r="D235" s="2"/>
      <c r="E235" s="2"/>
      <c r="F235" s="2"/>
      <c r="G235" s="3"/>
    </row>
    <row r="236" spans="1:7" ht="11.1" customHeight="1" x14ac:dyDescent="0.2">
      <c r="A236" s="6"/>
      <c r="C236" s="8"/>
      <c r="D236" s="9"/>
      <c r="E236" s="8"/>
      <c r="F236" s="9"/>
      <c r="G236" s="8"/>
    </row>
    <row r="237" spans="1:7" ht="11.1" customHeight="1" x14ac:dyDescent="0.2">
      <c r="A237" s="6"/>
      <c r="C237" s="8"/>
      <c r="D237" s="9"/>
      <c r="E237" s="8"/>
      <c r="F237" s="9"/>
      <c r="G237" s="8"/>
    </row>
    <row r="238" spans="1:7" ht="11.1" customHeight="1" x14ac:dyDescent="0.2">
      <c r="A238" s="6"/>
      <c r="C238" s="8"/>
      <c r="D238" s="9"/>
      <c r="E238" s="8"/>
      <c r="F238" s="9"/>
      <c r="G238" s="8"/>
    </row>
    <row r="239" spans="1:7" ht="11.1" customHeight="1" x14ac:dyDescent="0.2">
      <c r="A239" s="6"/>
      <c r="C239" s="8"/>
      <c r="D239" s="9"/>
      <c r="E239" s="8"/>
      <c r="F239" s="9"/>
      <c r="G239" s="8"/>
    </row>
    <row r="240" spans="1:7" ht="11.1" customHeight="1" x14ac:dyDescent="0.2">
      <c r="A240" s="6"/>
      <c r="C240" s="8"/>
      <c r="D240" s="9"/>
      <c r="E240" s="8"/>
      <c r="F240" s="9"/>
      <c r="G240" s="8"/>
    </row>
    <row r="241" spans="1:7" ht="11.1" customHeight="1" x14ac:dyDescent="0.2">
      <c r="A241" s="6"/>
      <c r="C241" s="8"/>
      <c r="D241" s="9"/>
      <c r="E241" s="8"/>
      <c r="F241" s="9"/>
      <c r="G241" s="8"/>
    </row>
    <row r="242" spans="1:7" ht="11.1" customHeight="1" x14ac:dyDescent="0.2">
      <c r="A242" s="6"/>
      <c r="C242" s="8"/>
      <c r="D242" s="9"/>
      <c r="E242" s="8"/>
      <c r="F242" s="9"/>
      <c r="G242" s="8"/>
    </row>
    <row r="243" spans="1:7" ht="11.1" customHeight="1" x14ac:dyDescent="0.2">
      <c r="A243" s="6"/>
      <c r="C243" s="8"/>
      <c r="D243" s="9"/>
      <c r="E243" s="8"/>
      <c r="F243" s="9"/>
      <c r="G243" s="8"/>
    </row>
    <row r="244" spans="1:7" ht="11.1" customHeight="1" x14ac:dyDescent="0.2">
      <c r="A244" s="6"/>
      <c r="C244" s="8"/>
      <c r="D244" s="9"/>
      <c r="E244" s="8"/>
      <c r="F244" s="9"/>
      <c r="G244" s="8"/>
    </row>
    <row r="245" spans="1:7" ht="11.1" customHeight="1" x14ac:dyDescent="0.2">
      <c r="A245" s="6"/>
      <c r="C245" s="8"/>
      <c r="D245" s="9"/>
      <c r="E245" s="8"/>
      <c r="F245" s="9"/>
      <c r="G245" s="8"/>
    </row>
    <row r="247" spans="1:7" ht="11.1" customHeight="1" x14ac:dyDescent="0.2">
      <c r="A247" s="6"/>
      <c r="C247" s="2"/>
      <c r="D247" s="2"/>
      <c r="E247" s="2"/>
      <c r="F247" s="2"/>
      <c r="G247" s="3"/>
    </row>
    <row r="248" spans="1:7" ht="11.1" customHeight="1" x14ac:dyDescent="0.2">
      <c r="A248" s="6"/>
      <c r="C248" s="8"/>
      <c r="D248" s="12"/>
      <c r="E248" s="8"/>
      <c r="F248" s="9"/>
      <c r="G248" s="8"/>
    </row>
    <row r="249" spans="1:7" ht="11.1" customHeight="1" x14ac:dyDescent="0.2">
      <c r="A249" s="6"/>
      <c r="C249" s="8"/>
      <c r="D249" s="12"/>
      <c r="E249" s="8"/>
      <c r="F249" s="9"/>
      <c r="G249" s="8"/>
    </row>
    <row r="250" spans="1:7" ht="11.1" customHeight="1" x14ac:dyDescent="0.2">
      <c r="A250" s="6"/>
      <c r="C250" s="8"/>
      <c r="D250" s="12"/>
      <c r="E250" s="8"/>
      <c r="F250" s="9"/>
      <c r="G250" s="8"/>
    </row>
    <row r="251" spans="1:7" ht="11.1" customHeight="1" x14ac:dyDescent="0.2">
      <c r="A251" s="6"/>
      <c r="C251" s="8"/>
      <c r="D251" s="12"/>
      <c r="E251" s="8"/>
      <c r="F251" s="9"/>
      <c r="G251" s="8"/>
    </row>
    <row r="252" spans="1:7" ht="11.1" customHeight="1" x14ac:dyDescent="0.2">
      <c r="A252" s="6"/>
      <c r="C252" s="8"/>
      <c r="D252" s="12"/>
      <c r="E252" s="8"/>
      <c r="F252" s="9"/>
      <c r="G252" s="8"/>
    </row>
    <row r="253" spans="1:7" ht="11.1" customHeight="1" x14ac:dyDescent="0.2">
      <c r="A253" s="6"/>
      <c r="C253" s="8"/>
      <c r="D253" s="12"/>
      <c r="E253" s="8"/>
      <c r="F253" s="9"/>
      <c r="G253" s="8"/>
    </row>
    <row r="254" spans="1:7" ht="11.1" customHeight="1" x14ac:dyDescent="0.2">
      <c r="A254" s="6"/>
      <c r="C254" s="8"/>
      <c r="D254" s="12"/>
      <c r="E254" s="8"/>
      <c r="F254" s="9"/>
      <c r="G254" s="8"/>
    </row>
    <row r="255" spans="1:7" ht="11.1" customHeight="1" x14ac:dyDescent="0.2">
      <c r="A255" s="6"/>
      <c r="C255" s="8"/>
      <c r="D255" s="12"/>
      <c r="E255" s="8"/>
      <c r="F255" s="9"/>
      <c r="G255" s="8"/>
    </row>
    <row r="256" spans="1:7" ht="11.1" customHeight="1" x14ac:dyDescent="0.2">
      <c r="A256" s="6"/>
      <c r="C256" s="8"/>
      <c r="D256" s="12"/>
      <c r="E256" s="8"/>
      <c r="F256" s="9"/>
      <c r="G256" s="8"/>
    </row>
    <row r="257" spans="1:7" ht="11.1" customHeight="1" x14ac:dyDescent="0.2">
      <c r="A257" s="6"/>
      <c r="C257" s="8"/>
      <c r="D257" s="12"/>
      <c r="E257" s="8"/>
      <c r="F257" s="9"/>
      <c r="G257" s="8"/>
    </row>
    <row r="259" spans="1:7" ht="11.1" customHeight="1" x14ac:dyDescent="0.2">
      <c r="A259" s="6"/>
      <c r="C259" s="2"/>
      <c r="D259" s="2"/>
      <c r="E259" s="2"/>
      <c r="F259" s="2"/>
      <c r="G259" s="3"/>
    </row>
    <row r="260" spans="1:7" ht="11.1" customHeight="1" x14ac:dyDescent="0.2">
      <c r="A260" s="6"/>
      <c r="C260" s="8"/>
      <c r="D260" s="12"/>
      <c r="E260" s="8"/>
      <c r="F260" s="9"/>
      <c r="G260" s="8"/>
    </row>
    <row r="261" spans="1:7" ht="11.1" customHeight="1" x14ac:dyDescent="0.2">
      <c r="A261" s="6"/>
      <c r="C261" s="8"/>
      <c r="D261" s="12"/>
      <c r="E261" s="8"/>
      <c r="F261" s="9"/>
      <c r="G261" s="8"/>
    </row>
    <row r="262" spans="1:7" ht="11.1" customHeight="1" x14ac:dyDescent="0.2">
      <c r="A262" s="6"/>
      <c r="C262" s="8"/>
      <c r="D262" s="12"/>
      <c r="E262" s="8"/>
      <c r="F262" s="9"/>
      <c r="G262" s="8"/>
    </row>
    <row r="263" spans="1:7" ht="11.1" customHeight="1" x14ac:dyDescent="0.2">
      <c r="A263" s="6"/>
      <c r="C263" s="8"/>
      <c r="D263" s="12"/>
      <c r="E263" s="8"/>
      <c r="F263" s="9"/>
      <c r="G263" s="8"/>
    </row>
    <row r="264" spans="1:7" ht="11.1" customHeight="1" x14ac:dyDescent="0.2">
      <c r="A264" s="6"/>
      <c r="C264" s="8"/>
      <c r="D264" s="12"/>
      <c r="E264" s="8"/>
      <c r="F264" s="9"/>
      <c r="G264" s="8"/>
    </row>
    <row r="265" spans="1:7" ht="11.1" customHeight="1" x14ac:dyDescent="0.2">
      <c r="A265" s="6"/>
      <c r="C265" s="8"/>
      <c r="D265" s="12"/>
      <c r="E265" s="8"/>
      <c r="F265" s="9"/>
      <c r="G265" s="8"/>
    </row>
    <row r="266" spans="1:7" ht="11.1" customHeight="1" x14ac:dyDescent="0.2">
      <c r="A266" s="6"/>
      <c r="C266" s="8"/>
      <c r="D266" s="12"/>
      <c r="E266" s="8"/>
      <c r="F266" s="9"/>
      <c r="G266" s="8"/>
    </row>
    <row r="267" spans="1:7" ht="11.1" customHeight="1" x14ac:dyDescent="0.2">
      <c r="A267" s="6"/>
      <c r="C267" s="8"/>
      <c r="D267" s="12"/>
      <c r="E267" s="8"/>
      <c r="F267" s="9"/>
      <c r="G267" s="8"/>
    </row>
    <row r="268" spans="1:7" ht="11.1" customHeight="1" x14ac:dyDescent="0.2">
      <c r="A268" s="6"/>
      <c r="C268" s="8"/>
      <c r="D268" s="12"/>
      <c r="E268" s="8"/>
      <c r="F268" s="9"/>
      <c r="G268" s="8"/>
    </row>
    <row r="269" spans="1:7" ht="11.1" customHeight="1" x14ac:dyDescent="0.2">
      <c r="A269" s="6"/>
      <c r="C269" s="8"/>
      <c r="D269" s="12"/>
      <c r="E269" s="8"/>
      <c r="F269" s="9"/>
      <c r="G269" s="8"/>
    </row>
    <row r="271" spans="1:7" ht="11.1" customHeight="1" x14ac:dyDescent="0.2">
      <c r="A271" s="6"/>
      <c r="C271" s="2"/>
      <c r="D271" s="2"/>
      <c r="E271" s="2"/>
      <c r="F271" s="2"/>
      <c r="G271" s="3"/>
    </row>
    <row r="272" spans="1:7" ht="11.1" customHeight="1" x14ac:dyDescent="0.2">
      <c r="A272" s="6"/>
      <c r="C272" s="8"/>
      <c r="D272" s="12"/>
      <c r="E272" s="8"/>
      <c r="F272" s="9"/>
      <c r="G272" s="8"/>
    </row>
    <row r="273" spans="1:7" ht="11.1" customHeight="1" x14ac:dyDescent="0.2">
      <c r="A273" s="6"/>
      <c r="C273" s="8"/>
      <c r="D273" s="12"/>
      <c r="E273" s="8"/>
      <c r="F273" s="9"/>
      <c r="G273" s="8"/>
    </row>
    <row r="274" spans="1:7" ht="11.1" customHeight="1" x14ac:dyDescent="0.2">
      <c r="A274" s="6"/>
      <c r="C274" s="8"/>
      <c r="D274" s="12"/>
      <c r="E274" s="8"/>
      <c r="F274" s="9"/>
      <c r="G274" s="8"/>
    </row>
    <row r="276" spans="1:7" ht="11.1" customHeight="1" x14ac:dyDescent="0.2">
      <c r="A276" s="6"/>
      <c r="C276" s="2"/>
      <c r="D276" s="2"/>
      <c r="E276" s="2"/>
      <c r="F276" s="2"/>
      <c r="G276" s="3"/>
    </row>
    <row r="277" spans="1:7" ht="11.1" customHeight="1" x14ac:dyDescent="0.2">
      <c r="A277" s="6"/>
      <c r="C277" s="8"/>
      <c r="D277" s="12"/>
      <c r="E277" s="8"/>
      <c r="F277" s="9"/>
      <c r="G277" s="8"/>
    </row>
    <row r="278" spans="1:7" ht="11.1" customHeight="1" x14ac:dyDescent="0.2">
      <c r="A278" s="6"/>
      <c r="C278" s="8"/>
      <c r="D278" s="12"/>
      <c r="E278" s="8"/>
      <c r="F278" s="9"/>
      <c r="G278" s="8"/>
    </row>
    <row r="279" spans="1:7" ht="11.1" customHeight="1" x14ac:dyDescent="0.2">
      <c r="A279" s="6"/>
      <c r="C279" s="8"/>
      <c r="D279" s="12"/>
      <c r="E279" s="8"/>
      <c r="F279" s="9"/>
      <c r="G279" s="8"/>
    </row>
    <row r="281" spans="1:7" ht="11.1" customHeight="1" x14ac:dyDescent="0.2">
      <c r="A281" s="6"/>
      <c r="C281" s="2"/>
      <c r="D281" s="2"/>
      <c r="E281" s="2"/>
      <c r="F281" s="2"/>
      <c r="G281" s="3"/>
    </row>
    <row r="282" spans="1:7" ht="11.1" customHeight="1" x14ac:dyDescent="0.2">
      <c r="A282" s="6"/>
      <c r="C282" s="8"/>
      <c r="D282" s="12"/>
      <c r="E282" s="8"/>
      <c r="F282" s="9"/>
      <c r="G282" s="8"/>
    </row>
    <row r="283" spans="1:7" ht="11.1" customHeight="1" x14ac:dyDescent="0.2">
      <c r="A283" s="6"/>
      <c r="C283" s="8"/>
      <c r="D283" s="12"/>
      <c r="E283" s="8"/>
      <c r="F283" s="9"/>
      <c r="G283" s="8"/>
    </row>
    <row r="284" spans="1:7" ht="11.1" customHeight="1" x14ac:dyDescent="0.2">
      <c r="A284" s="6"/>
      <c r="C284" s="8"/>
      <c r="D284" s="12"/>
      <c r="E284" s="8"/>
      <c r="F284" s="9"/>
      <c r="G284" s="8"/>
    </row>
    <row r="285" spans="1:7" ht="11.1" customHeight="1" x14ac:dyDescent="0.2">
      <c r="A285" s="6"/>
      <c r="C285" s="8"/>
      <c r="D285" s="12"/>
      <c r="E285" s="8"/>
      <c r="F285" s="9"/>
      <c r="G285" s="8"/>
    </row>
    <row r="286" spans="1:7" ht="11.1" customHeight="1" x14ac:dyDescent="0.2">
      <c r="A286" s="6"/>
      <c r="C286" s="8"/>
      <c r="D286" s="12"/>
      <c r="E286" s="8"/>
      <c r="F286" s="9"/>
      <c r="G286" s="8"/>
    </row>
    <row r="287" spans="1:7" ht="11.1" customHeight="1" x14ac:dyDescent="0.2">
      <c r="A287" s="6"/>
      <c r="C287" s="8"/>
      <c r="D287" s="12"/>
      <c r="E287" s="8"/>
      <c r="F287" s="9"/>
      <c r="G287" s="8"/>
    </row>
    <row r="288" spans="1:7" ht="11.1" customHeight="1" x14ac:dyDescent="0.2">
      <c r="A288" s="6"/>
      <c r="C288" s="8"/>
      <c r="D288" s="12"/>
      <c r="E288" s="8"/>
      <c r="F288" s="9"/>
      <c r="G288" s="8"/>
    </row>
    <row r="289" spans="1:7" ht="11.1" customHeight="1" x14ac:dyDescent="0.2">
      <c r="A289" s="6"/>
      <c r="C289" s="8"/>
      <c r="D289" s="12"/>
      <c r="E289" s="8"/>
      <c r="F289" s="9"/>
      <c r="G289" s="8"/>
    </row>
    <row r="290" spans="1:7" ht="11.1" customHeight="1" x14ac:dyDescent="0.2">
      <c r="A290" s="6"/>
      <c r="C290" s="8"/>
      <c r="D290" s="12"/>
      <c r="E290" s="8"/>
      <c r="F290" s="9"/>
      <c r="G290" s="8"/>
    </row>
    <row r="291" spans="1:7" ht="11.1" customHeight="1" x14ac:dyDescent="0.2">
      <c r="A291" s="6"/>
      <c r="C291" s="8"/>
      <c r="D291" s="12"/>
      <c r="E291" s="8"/>
      <c r="F291" s="9"/>
      <c r="G291" s="8"/>
    </row>
    <row r="293" spans="1:7" ht="11.1" customHeight="1" x14ac:dyDescent="0.2">
      <c r="A293" s="6"/>
      <c r="C293" s="2"/>
      <c r="D293" s="2"/>
      <c r="E293" s="2"/>
      <c r="F293" s="2"/>
      <c r="G293" s="3"/>
    </row>
    <row r="294" spans="1:7" ht="11.1" customHeight="1" x14ac:dyDescent="0.2">
      <c r="A294" s="6"/>
      <c r="C294" s="8"/>
      <c r="D294" s="8"/>
      <c r="E294" s="8"/>
      <c r="F294" s="9"/>
      <c r="G294" s="8"/>
    </row>
    <row r="295" spans="1:7" ht="11.1" customHeight="1" x14ac:dyDescent="0.2">
      <c r="A295" s="6"/>
      <c r="C295" s="8"/>
      <c r="D295" s="8"/>
      <c r="E295" s="8"/>
      <c r="F295" s="9"/>
      <c r="G295" s="8"/>
    </row>
    <row r="296" spans="1:7" ht="11.1" customHeight="1" x14ac:dyDescent="0.2">
      <c r="A296" s="6"/>
      <c r="C296" s="8"/>
      <c r="D296" s="8"/>
      <c r="E296" s="8"/>
      <c r="F296" s="9"/>
      <c r="G296" s="8"/>
    </row>
    <row r="297" spans="1:7" ht="11.1" customHeight="1" x14ac:dyDescent="0.2">
      <c r="A297" s="6"/>
      <c r="C297" s="8"/>
      <c r="D297" s="8"/>
      <c r="E297" s="8"/>
      <c r="F297" s="9"/>
      <c r="G297" s="8"/>
    </row>
    <row r="298" spans="1:7" ht="11.1" customHeight="1" x14ac:dyDescent="0.2">
      <c r="A298" s="6"/>
      <c r="C298" s="8"/>
      <c r="D298" s="8"/>
      <c r="E298" s="8"/>
      <c r="F298" s="9"/>
      <c r="G298" s="8"/>
    </row>
    <row r="299" spans="1:7" ht="11.1" customHeight="1" x14ac:dyDescent="0.2">
      <c r="A299" s="6"/>
      <c r="C299" s="8"/>
      <c r="D299" s="8"/>
      <c r="E299" s="8"/>
      <c r="F299" s="9"/>
      <c r="G299" s="8"/>
    </row>
    <row r="300" spans="1:7" ht="11.1" customHeight="1" x14ac:dyDescent="0.2">
      <c r="A300" s="6"/>
      <c r="C300" s="8"/>
      <c r="D300" s="8"/>
      <c r="E300" s="8"/>
      <c r="F300" s="9"/>
      <c r="G300" s="8"/>
    </row>
    <row r="301" spans="1:7" ht="11.1" customHeight="1" x14ac:dyDescent="0.2">
      <c r="A301" s="6"/>
      <c r="C301" s="8"/>
      <c r="D301" s="8"/>
      <c r="E301" s="8"/>
      <c r="F301" s="9"/>
      <c r="G301" s="8"/>
    </row>
    <row r="302" spans="1:7" ht="11.1" customHeight="1" x14ac:dyDescent="0.2">
      <c r="A302" s="6"/>
      <c r="C302" s="8"/>
      <c r="D302" s="8"/>
      <c r="E302" s="8"/>
      <c r="F302" s="9"/>
      <c r="G302" s="8"/>
    </row>
    <row r="303" spans="1:7" ht="11.1" customHeight="1" x14ac:dyDescent="0.2">
      <c r="A303" s="6"/>
      <c r="C303" s="8"/>
      <c r="D303" s="8"/>
      <c r="E303" s="8"/>
      <c r="F303" s="9"/>
      <c r="G303" s="8"/>
    </row>
    <row r="305" spans="1:7" ht="11.1" customHeight="1" x14ac:dyDescent="0.2">
      <c r="A305" s="6"/>
      <c r="C305" s="2"/>
      <c r="D305" s="2"/>
      <c r="E305" s="2"/>
      <c r="F305" s="2"/>
      <c r="G305" s="3"/>
    </row>
    <row r="306" spans="1:7" ht="11.1" customHeight="1" x14ac:dyDescent="0.2">
      <c r="A306" s="6"/>
      <c r="C306" s="8"/>
      <c r="D306" s="8"/>
      <c r="E306" s="8"/>
      <c r="F306" s="9"/>
      <c r="G306" s="8"/>
    </row>
    <row r="307" spans="1:7" ht="11.1" customHeight="1" x14ac:dyDescent="0.2">
      <c r="A307" s="6"/>
      <c r="C307" s="8"/>
      <c r="D307" s="8"/>
      <c r="E307" s="8"/>
      <c r="F307" s="9"/>
      <c r="G307" s="8"/>
    </row>
    <row r="308" spans="1:7" ht="11.1" customHeight="1" x14ac:dyDescent="0.2">
      <c r="A308" s="6"/>
      <c r="C308" s="8"/>
      <c r="D308" s="8"/>
      <c r="E308" s="8"/>
      <c r="F308" s="9"/>
      <c r="G308" s="8"/>
    </row>
    <row r="309" spans="1:7" ht="11.1" customHeight="1" x14ac:dyDescent="0.2">
      <c r="A309" s="6"/>
      <c r="C309" s="8"/>
      <c r="D309" s="8"/>
      <c r="E309" s="8"/>
      <c r="F309" s="9"/>
      <c r="G309" s="8"/>
    </row>
    <row r="310" spans="1:7" ht="11.1" customHeight="1" x14ac:dyDescent="0.2">
      <c r="A310" s="6"/>
      <c r="C310" s="8"/>
      <c r="D310" s="8"/>
      <c r="E310" s="8"/>
      <c r="F310" s="9"/>
      <c r="G310" s="8"/>
    </row>
    <row r="311" spans="1:7" ht="11.1" customHeight="1" x14ac:dyDescent="0.2">
      <c r="A311" s="6"/>
      <c r="C311" s="8"/>
      <c r="D311" s="8"/>
      <c r="E311" s="8"/>
      <c r="F311" s="9"/>
      <c r="G311" s="8"/>
    </row>
    <row r="312" spans="1:7" ht="11.1" customHeight="1" x14ac:dyDescent="0.2">
      <c r="A312" s="6"/>
      <c r="C312" s="8"/>
      <c r="D312" s="8"/>
      <c r="E312" s="8"/>
      <c r="F312" s="9"/>
      <c r="G312" s="8"/>
    </row>
    <row r="313" spans="1:7" ht="11.1" customHeight="1" x14ac:dyDescent="0.2">
      <c r="A313" s="6"/>
      <c r="C313" s="8"/>
      <c r="D313" s="8"/>
      <c r="E313" s="8"/>
      <c r="F313" s="9"/>
      <c r="G313" s="8"/>
    </row>
    <row r="314" spans="1:7" ht="11.1" customHeight="1" x14ac:dyDescent="0.2">
      <c r="A314" s="6"/>
      <c r="C314" s="8"/>
      <c r="D314" s="8"/>
      <c r="E314" s="8"/>
      <c r="F314" s="9"/>
      <c r="G314" s="8"/>
    </row>
    <row r="315" spans="1:7" ht="11.1" customHeight="1" x14ac:dyDescent="0.2">
      <c r="A315" s="6"/>
      <c r="C315" s="8"/>
      <c r="D315" s="8"/>
      <c r="E315" s="8"/>
      <c r="F315" s="9"/>
      <c r="G315" s="8"/>
    </row>
    <row r="317" spans="1:7" ht="11.1" customHeight="1" x14ac:dyDescent="0.2">
      <c r="A317" s="6"/>
      <c r="C317" s="2"/>
      <c r="D317" s="2"/>
      <c r="E317" s="2"/>
      <c r="F317" s="2"/>
      <c r="G317" s="3"/>
    </row>
    <row r="318" spans="1:7" ht="11.1" customHeight="1" x14ac:dyDescent="0.2">
      <c r="A318" s="6"/>
      <c r="C318" s="8"/>
      <c r="D318" s="8"/>
      <c r="E318" s="8"/>
      <c r="F318" s="9"/>
      <c r="G318" s="8"/>
    </row>
    <row r="319" spans="1:7" ht="11.1" customHeight="1" x14ac:dyDescent="0.2">
      <c r="A319" s="6"/>
      <c r="C319" s="8"/>
      <c r="D319" s="8"/>
      <c r="E319" s="8"/>
      <c r="F319" s="9"/>
      <c r="G319" s="8"/>
    </row>
    <row r="320" spans="1:7" ht="11.1" customHeight="1" x14ac:dyDescent="0.2">
      <c r="A320" s="6"/>
      <c r="C320" s="8"/>
      <c r="D320" s="8"/>
      <c r="E320" s="8"/>
      <c r="F320" s="9"/>
      <c r="G320" s="8"/>
    </row>
    <row r="321" spans="1:7" ht="11.1" customHeight="1" x14ac:dyDescent="0.2">
      <c r="A321" s="6"/>
      <c r="C321" s="8"/>
      <c r="D321" s="8"/>
      <c r="E321" s="8"/>
      <c r="F321" s="9"/>
      <c r="G321" s="8"/>
    </row>
    <row r="322" spans="1:7" ht="11.1" customHeight="1" x14ac:dyDescent="0.2">
      <c r="A322" s="6"/>
      <c r="C322" s="8"/>
      <c r="D322" s="8"/>
      <c r="E322" s="8"/>
      <c r="F322" s="9"/>
      <c r="G322" s="8"/>
    </row>
    <row r="323" spans="1:7" ht="11.1" customHeight="1" x14ac:dyDescent="0.2">
      <c r="A323" s="6"/>
      <c r="C323" s="8"/>
      <c r="D323" s="8"/>
      <c r="E323" s="8"/>
      <c r="F323" s="9"/>
      <c r="G323" s="8"/>
    </row>
    <row r="324" spans="1:7" ht="11.1" customHeight="1" x14ac:dyDescent="0.2">
      <c r="A324" s="6"/>
      <c r="C324" s="8"/>
      <c r="D324" s="8"/>
      <c r="E324" s="8"/>
      <c r="F324" s="9"/>
      <c r="G324" s="8"/>
    </row>
    <row r="325" spans="1:7" ht="11.1" customHeight="1" x14ac:dyDescent="0.2">
      <c r="A325" s="6"/>
      <c r="C325" s="8"/>
      <c r="D325" s="8"/>
      <c r="E325" s="8"/>
      <c r="F325" s="9"/>
      <c r="G325" s="8"/>
    </row>
    <row r="326" spans="1:7" ht="11.1" customHeight="1" x14ac:dyDescent="0.2">
      <c r="A326" s="6"/>
      <c r="C326" s="8"/>
      <c r="D326" s="8"/>
      <c r="E326" s="8"/>
      <c r="F326" s="9"/>
      <c r="G326" s="8"/>
    </row>
    <row r="327" spans="1:7" ht="11.1" customHeight="1" x14ac:dyDescent="0.2">
      <c r="A327" s="6"/>
      <c r="C327" s="8"/>
      <c r="D327" s="8"/>
      <c r="E327" s="8"/>
      <c r="F327" s="9"/>
      <c r="G327" s="8"/>
    </row>
    <row r="329" spans="1:7" ht="11.1" customHeight="1" x14ac:dyDescent="0.2">
      <c r="A329" s="6"/>
      <c r="C329" s="2"/>
      <c r="D329" s="2"/>
      <c r="E329" s="2"/>
      <c r="F329" s="2"/>
      <c r="G329" s="3"/>
    </row>
    <row r="330" spans="1:7" ht="11.1" customHeight="1" x14ac:dyDescent="0.2">
      <c r="A330" s="6"/>
      <c r="C330" s="8"/>
      <c r="D330" s="8"/>
      <c r="E330" s="8"/>
      <c r="F330" s="9"/>
      <c r="G330" s="8"/>
    </row>
    <row r="331" spans="1:7" ht="11.1" customHeight="1" x14ac:dyDescent="0.2">
      <c r="A331" s="6"/>
      <c r="C331" s="8"/>
      <c r="D331" s="8"/>
      <c r="E331" s="8"/>
      <c r="F331" s="9"/>
      <c r="G331" s="8"/>
    </row>
    <row r="332" spans="1:7" ht="11.1" customHeight="1" x14ac:dyDescent="0.2">
      <c r="A332" s="6"/>
      <c r="C332" s="8"/>
      <c r="D332" s="8"/>
      <c r="E332" s="8"/>
      <c r="F332" s="9"/>
      <c r="G332" s="8"/>
    </row>
    <row r="333" spans="1:7" ht="11.1" customHeight="1" x14ac:dyDescent="0.2">
      <c r="A333" s="6"/>
      <c r="C333" s="8"/>
      <c r="D333" s="8"/>
      <c r="E333" s="8"/>
      <c r="F333" s="9"/>
      <c r="G333" s="8"/>
    </row>
    <row r="334" spans="1:7" ht="11.1" customHeight="1" x14ac:dyDescent="0.2">
      <c r="A334" s="6"/>
      <c r="C334" s="8"/>
      <c r="D334" s="8"/>
      <c r="E334" s="8"/>
      <c r="F334" s="9"/>
      <c r="G334" s="8"/>
    </row>
    <row r="335" spans="1:7" ht="11.1" customHeight="1" x14ac:dyDescent="0.2">
      <c r="A335" s="6"/>
      <c r="C335" s="8"/>
      <c r="D335" s="8"/>
      <c r="E335" s="8"/>
      <c r="F335" s="9"/>
      <c r="G335" s="8"/>
    </row>
    <row r="336" spans="1:7" ht="11.1" customHeight="1" x14ac:dyDescent="0.2">
      <c r="A336" s="6"/>
      <c r="C336" s="8"/>
      <c r="D336" s="8"/>
      <c r="E336" s="8"/>
      <c r="F336" s="9"/>
      <c r="G336" s="8"/>
    </row>
    <row r="337" spans="1:7" ht="11.1" customHeight="1" x14ac:dyDescent="0.2">
      <c r="A337" s="6"/>
      <c r="C337" s="8"/>
      <c r="D337" s="8"/>
      <c r="E337" s="8"/>
      <c r="F337" s="9"/>
      <c r="G337" s="8"/>
    </row>
    <row r="338" spans="1:7" ht="11.1" customHeight="1" x14ac:dyDescent="0.2">
      <c r="A338" s="6"/>
      <c r="C338" s="8"/>
      <c r="D338" s="8"/>
      <c r="E338" s="8"/>
      <c r="F338" s="9"/>
      <c r="G338" s="8"/>
    </row>
    <row r="339" spans="1:7" ht="11.1" customHeight="1" x14ac:dyDescent="0.2">
      <c r="A339" s="6"/>
      <c r="C339" s="8"/>
      <c r="D339" s="8"/>
      <c r="E339" s="8"/>
      <c r="F339" s="9"/>
      <c r="G339" s="8"/>
    </row>
    <row r="341" spans="1:7" ht="11.1" customHeight="1" x14ac:dyDescent="0.2">
      <c r="A341" s="6"/>
      <c r="C341" s="2"/>
      <c r="D341" s="2"/>
      <c r="E341" s="2"/>
      <c r="F341" s="2"/>
      <c r="G341" s="3"/>
    </row>
    <row r="342" spans="1:7" ht="11.1" customHeight="1" x14ac:dyDescent="0.2">
      <c r="A342" s="6"/>
      <c r="C342" s="8"/>
      <c r="D342" s="8"/>
      <c r="E342" s="8"/>
      <c r="F342" s="9"/>
      <c r="G342" s="8"/>
    </row>
    <row r="343" spans="1:7" ht="11.1" customHeight="1" x14ac:dyDescent="0.2">
      <c r="A343" s="6"/>
      <c r="C343" s="8"/>
      <c r="D343" s="8"/>
      <c r="E343" s="8"/>
      <c r="F343" s="9"/>
      <c r="G343" s="8"/>
    </row>
    <row r="344" spans="1:7" ht="11.1" customHeight="1" x14ac:dyDescent="0.2">
      <c r="A344" s="6"/>
      <c r="C344" s="8"/>
      <c r="D344" s="8"/>
      <c r="E344" s="8"/>
      <c r="F344" s="9"/>
      <c r="G344" s="8"/>
    </row>
    <row r="345" spans="1:7" ht="11.1" customHeight="1" x14ac:dyDescent="0.2">
      <c r="A345" s="6"/>
      <c r="C345" s="8"/>
      <c r="D345" s="8"/>
      <c r="E345" s="8"/>
      <c r="F345" s="9"/>
      <c r="G345" s="8"/>
    </row>
    <row r="346" spans="1:7" ht="11.1" customHeight="1" x14ac:dyDescent="0.2">
      <c r="A346" s="6"/>
      <c r="C346" s="8"/>
      <c r="D346" s="8"/>
      <c r="E346" s="8"/>
      <c r="F346" s="9"/>
      <c r="G346" s="8"/>
    </row>
    <row r="347" spans="1:7" ht="11.1" customHeight="1" x14ac:dyDescent="0.2">
      <c r="A347" s="6"/>
      <c r="C347" s="8"/>
      <c r="D347" s="8"/>
      <c r="E347" s="8"/>
      <c r="F347" s="9"/>
      <c r="G347" s="8"/>
    </row>
    <row r="348" spans="1:7" ht="11.1" customHeight="1" x14ac:dyDescent="0.2">
      <c r="A348" s="6"/>
      <c r="C348" s="8"/>
      <c r="D348" s="8"/>
      <c r="E348" s="8"/>
      <c r="F348" s="9"/>
      <c r="G348" s="8"/>
    </row>
    <row r="349" spans="1:7" ht="11.1" customHeight="1" x14ac:dyDescent="0.2">
      <c r="A349" s="6"/>
      <c r="C349" s="8"/>
      <c r="D349" s="8"/>
      <c r="E349" s="8"/>
      <c r="F349" s="9"/>
      <c r="G349" s="8"/>
    </row>
    <row r="350" spans="1:7" ht="11.1" customHeight="1" x14ac:dyDescent="0.2">
      <c r="A350" s="6"/>
      <c r="C350" s="8"/>
      <c r="D350" s="8"/>
      <c r="E350" s="8"/>
      <c r="F350" s="9"/>
      <c r="G350" s="8"/>
    </row>
    <row r="351" spans="1:7" ht="11.1" customHeight="1" x14ac:dyDescent="0.2">
      <c r="A351" s="6"/>
      <c r="C351" s="8"/>
      <c r="D351" s="8"/>
      <c r="E351" s="8"/>
      <c r="F351" s="9"/>
      <c r="G351" s="8"/>
    </row>
    <row r="353" spans="1:7" ht="11.1" customHeight="1" x14ac:dyDescent="0.2">
      <c r="A353" s="6"/>
      <c r="C353" s="2"/>
      <c r="D353" s="2"/>
      <c r="E353" s="2"/>
      <c r="F353" s="2"/>
      <c r="G353" s="3"/>
    </row>
    <row r="354" spans="1:7" ht="11.1" customHeight="1" x14ac:dyDescent="0.2">
      <c r="A354" s="6"/>
      <c r="C354" s="8"/>
      <c r="D354" s="8"/>
      <c r="E354" s="8"/>
      <c r="F354" s="9"/>
      <c r="G354" s="8"/>
    </row>
    <row r="355" spans="1:7" ht="11.1" customHeight="1" x14ac:dyDescent="0.2">
      <c r="A355" s="6"/>
      <c r="C355" s="8"/>
      <c r="D355" s="8"/>
      <c r="E355" s="8"/>
      <c r="F355" s="9"/>
      <c r="G355" s="8"/>
    </row>
    <row r="356" spans="1:7" ht="11.1" customHeight="1" x14ac:dyDescent="0.2">
      <c r="A356" s="6"/>
      <c r="C356" s="8"/>
      <c r="D356" s="8"/>
      <c r="E356" s="8"/>
      <c r="F356" s="9"/>
      <c r="G356" s="8"/>
    </row>
    <row r="357" spans="1:7" ht="11.1" customHeight="1" x14ac:dyDescent="0.2">
      <c r="A357" s="6"/>
      <c r="C357" s="8"/>
      <c r="D357" s="8"/>
      <c r="E357" s="8"/>
      <c r="F357" s="9"/>
      <c r="G357" s="8"/>
    </row>
    <row r="358" spans="1:7" ht="11.1" customHeight="1" x14ac:dyDescent="0.2">
      <c r="A358" s="6"/>
      <c r="C358" s="8"/>
      <c r="D358" s="8"/>
      <c r="E358" s="8"/>
      <c r="F358" s="9"/>
      <c r="G358" s="8"/>
    </row>
    <row r="359" spans="1:7" ht="11.1" customHeight="1" x14ac:dyDescent="0.2">
      <c r="A359" s="6"/>
      <c r="C359" s="8"/>
      <c r="D359" s="8"/>
      <c r="E359" s="8"/>
      <c r="F359" s="9"/>
      <c r="G359" s="8"/>
    </row>
    <row r="360" spans="1:7" ht="11.1" customHeight="1" x14ac:dyDescent="0.2">
      <c r="A360" s="6"/>
      <c r="C360" s="8"/>
      <c r="D360" s="8"/>
      <c r="E360" s="8"/>
      <c r="F360" s="9"/>
      <c r="G360" s="8"/>
    </row>
    <row r="361" spans="1:7" ht="11.1" customHeight="1" x14ac:dyDescent="0.2">
      <c r="A361" s="6"/>
      <c r="C361" s="8"/>
      <c r="D361" s="8"/>
      <c r="E361" s="8"/>
      <c r="F361" s="9"/>
      <c r="G361" s="8"/>
    </row>
    <row r="362" spans="1:7" ht="11.1" customHeight="1" x14ac:dyDescent="0.2">
      <c r="A362" s="6"/>
      <c r="C362" s="8"/>
      <c r="D362" s="8"/>
      <c r="E362" s="8"/>
      <c r="F362" s="9"/>
      <c r="G362" s="8"/>
    </row>
    <row r="363" spans="1:7" ht="11.1" customHeight="1" x14ac:dyDescent="0.2">
      <c r="A363" s="6"/>
      <c r="C363" s="8"/>
      <c r="D363" s="8"/>
      <c r="E363" s="8"/>
      <c r="F363" s="9"/>
      <c r="G363" s="8"/>
    </row>
    <row r="365" spans="1:7" ht="11.1" customHeight="1" x14ac:dyDescent="0.2">
      <c r="A365" s="6"/>
      <c r="C365" s="2"/>
      <c r="D365" s="2"/>
      <c r="E365" s="2"/>
      <c r="F365" s="2"/>
      <c r="G365" s="3"/>
    </row>
    <row r="366" spans="1:7" ht="11.1" customHeight="1" x14ac:dyDescent="0.2">
      <c r="A366" s="6"/>
      <c r="C366" s="8"/>
      <c r="D366" s="12"/>
      <c r="E366" s="8"/>
      <c r="F366" s="9"/>
      <c r="G366" s="8"/>
    </row>
    <row r="367" spans="1:7" ht="11.1" customHeight="1" x14ac:dyDescent="0.2">
      <c r="A367" s="6"/>
      <c r="C367" s="8"/>
      <c r="D367" s="12"/>
      <c r="E367" s="8"/>
      <c r="F367" s="9"/>
      <c r="G367" s="8"/>
    </row>
    <row r="368" spans="1:7" ht="11.1" customHeight="1" x14ac:dyDescent="0.2">
      <c r="A368" s="6"/>
      <c r="C368" s="8"/>
      <c r="D368" s="12"/>
      <c r="E368" s="8"/>
      <c r="F368" s="9"/>
      <c r="G368" s="8"/>
    </row>
    <row r="369" spans="1:7" ht="11.1" customHeight="1" x14ac:dyDescent="0.2">
      <c r="A369" s="6"/>
      <c r="C369" s="8"/>
      <c r="D369" s="12"/>
      <c r="E369" s="8"/>
      <c r="F369" s="9"/>
      <c r="G369" s="8"/>
    </row>
    <row r="370" spans="1:7" ht="11.1" customHeight="1" x14ac:dyDescent="0.2">
      <c r="A370" s="6"/>
      <c r="C370" s="8"/>
      <c r="D370" s="12"/>
      <c r="E370" s="8"/>
      <c r="F370" s="9"/>
      <c r="G370" s="8"/>
    </row>
    <row r="371" spans="1:7" ht="11.1" customHeight="1" x14ac:dyDescent="0.2">
      <c r="A371" s="6"/>
      <c r="C371" s="8"/>
      <c r="D371" s="12"/>
      <c r="E371" s="8"/>
      <c r="F371" s="9"/>
      <c r="G371" s="8"/>
    </row>
    <row r="372" spans="1:7" ht="11.1" customHeight="1" x14ac:dyDescent="0.2">
      <c r="A372" s="6"/>
      <c r="C372" s="8"/>
      <c r="D372" s="12"/>
      <c r="E372" s="8"/>
      <c r="F372" s="9"/>
      <c r="G372" s="8"/>
    </row>
    <row r="373" spans="1:7" ht="11.1" customHeight="1" x14ac:dyDescent="0.2">
      <c r="A373" s="6"/>
      <c r="C373" s="8"/>
      <c r="D373" s="12"/>
      <c r="E373" s="8"/>
      <c r="F373" s="9"/>
      <c r="G373" s="8"/>
    </row>
    <row r="374" spans="1:7" ht="11.1" customHeight="1" x14ac:dyDescent="0.2">
      <c r="A374" s="6"/>
      <c r="C374" s="8"/>
      <c r="D374" s="12"/>
      <c r="E374" s="8"/>
      <c r="F374" s="9"/>
      <c r="G374" s="8"/>
    </row>
    <row r="375" spans="1:7" ht="11.1" customHeight="1" x14ac:dyDescent="0.2">
      <c r="A375" s="6"/>
      <c r="C375" s="8"/>
      <c r="D375" s="12"/>
      <c r="E375" s="8"/>
      <c r="F375" s="9"/>
      <c r="G375" s="8"/>
    </row>
    <row r="377" spans="1:7" ht="11.1" customHeight="1" x14ac:dyDescent="0.2">
      <c r="A377" s="6"/>
      <c r="C377" s="2"/>
      <c r="D377" s="2"/>
      <c r="E377" s="2"/>
      <c r="F377" s="2"/>
      <c r="G377" s="3"/>
    </row>
    <row r="378" spans="1:7" ht="11.1" customHeight="1" x14ac:dyDescent="0.2">
      <c r="A378" s="6"/>
      <c r="C378" s="8"/>
      <c r="D378" s="12"/>
      <c r="E378" s="8"/>
      <c r="F378" s="9"/>
      <c r="G378" s="8"/>
    </row>
    <row r="379" spans="1:7" ht="11.1" customHeight="1" x14ac:dyDescent="0.2">
      <c r="A379" s="6"/>
      <c r="C379" s="8"/>
      <c r="D379" s="12"/>
      <c r="E379" s="8"/>
      <c r="F379" s="9"/>
      <c r="G379" s="8"/>
    </row>
    <row r="380" spans="1:7" ht="11.1" customHeight="1" x14ac:dyDescent="0.2">
      <c r="A380" s="6"/>
      <c r="C380" s="8"/>
      <c r="D380" s="12"/>
      <c r="E380" s="8"/>
      <c r="F380" s="9"/>
      <c r="G380" s="8"/>
    </row>
    <row r="381" spans="1:7" ht="11.1" customHeight="1" x14ac:dyDescent="0.2">
      <c r="A381" s="6"/>
      <c r="C381" s="8"/>
      <c r="D381" s="12"/>
      <c r="E381" s="8"/>
      <c r="F381" s="9"/>
      <c r="G381" s="8"/>
    </row>
    <row r="382" spans="1:7" ht="11.1" customHeight="1" x14ac:dyDescent="0.2">
      <c r="A382" s="6"/>
      <c r="C382" s="8"/>
      <c r="D382" s="12"/>
      <c r="E382" s="8"/>
      <c r="F382" s="9"/>
      <c r="G382" s="8"/>
    </row>
    <row r="383" spans="1:7" ht="11.1" customHeight="1" x14ac:dyDescent="0.2">
      <c r="A383" s="6"/>
      <c r="C383" s="8"/>
      <c r="D383" s="12"/>
      <c r="E383" s="8"/>
      <c r="F383" s="9"/>
      <c r="G383" s="8"/>
    </row>
    <row r="384" spans="1:7" ht="11.1" customHeight="1" x14ac:dyDescent="0.2">
      <c r="A384" s="6"/>
      <c r="C384" s="8"/>
      <c r="D384" s="12"/>
      <c r="E384" s="8"/>
      <c r="F384" s="9"/>
      <c r="G384" s="8"/>
    </row>
    <row r="385" spans="1:7" ht="11.1" customHeight="1" x14ac:dyDescent="0.2">
      <c r="A385" s="6"/>
      <c r="C385" s="8"/>
      <c r="D385" s="12"/>
      <c r="E385" s="8"/>
      <c r="F385" s="9"/>
      <c r="G385" s="8"/>
    </row>
    <row r="386" spans="1:7" ht="11.1" customHeight="1" x14ac:dyDescent="0.2">
      <c r="A386" s="6"/>
      <c r="C386" s="8"/>
      <c r="D386" s="12"/>
      <c r="E386" s="8"/>
      <c r="F386" s="9"/>
      <c r="G386" s="8"/>
    </row>
    <row r="387" spans="1:7" ht="11.1" customHeight="1" x14ac:dyDescent="0.2">
      <c r="A387" s="6"/>
      <c r="C387" s="8"/>
      <c r="D387" s="12"/>
      <c r="E387" s="8"/>
      <c r="F387" s="9"/>
      <c r="G387" s="8"/>
    </row>
    <row r="389" spans="1:7" ht="11.1" customHeight="1" x14ac:dyDescent="0.2">
      <c r="A389" s="6"/>
      <c r="C389" s="2"/>
      <c r="D389" s="2"/>
      <c r="E389" s="2"/>
      <c r="F389" s="2"/>
      <c r="G389" s="3"/>
    </row>
    <row r="390" spans="1:7" ht="11.1" customHeight="1" x14ac:dyDescent="0.2">
      <c r="A390" s="6"/>
      <c r="C390" s="8"/>
      <c r="D390" s="12"/>
      <c r="E390" s="8"/>
      <c r="F390" s="9"/>
      <c r="G390" s="8"/>
    </row>
    <row r="391" spans="1:7" ht="11.1" customHeight="1" x14ac:dyDescent="0.2">
      <c r="A391" s="6"/>
      <c r="C391" s="8"/>
      <c r="D391" s="12"/>
      <c r="E391" s="8"/>
      <c r="F391" s="9"/>
      <c r="G391" s="8"/>
    </row>
    <row r="392" spans="1:7" ht="11.1" customHeight="1" x14ac:dyDescent="0.2">
      <c r="A392" s="6"/>
      <c r="C392" s="8"/>
      <c r="D392" s="12"/>
      <c r="E392" s="8"/>
      <c r="F392" s="9"/>
      <c r="G392" s="8"/>
    </row>
    <row r="393" spans="1:7" ht="11.1" customHeight="1" x14ac:dyDescent="0.2">
      <c r="A393" s="6"/>
      <c r="C393" s="8"/>
      <c r="D393" s="12"/>
      <c r="E393" s="8"/>
      <c r="F393" s="9"/>
      <c r="G393" s="8"/>
    </row>
    <row r="394" spans="1:7" ht="11.1" customHeight="1" x14ac:dyDescent="0.2">
      <c r="A394" s="6"/>
      <c r="C394" s="8"/>
      <c r="D394" s="12"/>
      <c r="E394" s="8"/>
      <c r="F394" s="9"/>
      <c r="G394" s="8"/>
    </row>
    <row r="395" spans="1:7" ht="11.1" customHeight="1" x14ac:dyDescent="0.2">
      <c r="A395" s="6"/>
      <c r="C395" s="8"/>
      <c r="D395" s="12"/>
      <c r="E395" s="8"/>
      <c r="F395" s="9"/>
      <c r="G395" s="8"/>
    </row>
    <row r="396" spans="1:7" ht="11.1" customHeight="1" x14ac:dyDescent="0.2">
      <c r="A396" s="6"/>
      <c r="C396" s="8"/>
      <c r="D396" s="12"/>
      <c r="E396" s="8"/>
      <c r="F396" s="9"/>
      <c r="G396" s="8"/>
    </row>
    <row r="397" spans="1:7" ht="11.1" customHeight="1" x14ac:dyDescent="0.2">
      <c r="A397" s="6"/>
      <c r="C397" s="8"/>
      <c r="D397" s="12"/>
      <c r="E397" s="8"/>
      <c r="F397" s="9"/>
      <c r="G397" s="8"/>
    </row>
    <row r="398" spans="1:7" ht="11.1" customHeight="1" x14ac:dyDescent="0.2">
      <c r="A398" s="6"/>
      <c r="C398" s="8"/>
      <c r="D398" s="12"/>
      <c r="E398" s="8"/>
      <c r="F398" s="9"/>
      <c r="G398" s="8"/>
    </row>
    <row r="399" spans="1:7" ht="11.1" customHeight="1" x14ac:dyDescent="0.2">
      <c r="A399" s="6"/>
      <c r="C399" s="8"/>
      <c r="D399" s="12"/>
      <c r="E399" s="8"/>
      <c r="F399" s="9"/>
      <c r="G399" s="8"/>
    </row>
    <row r="401" spans="1:7" ht="11.1" customHeight="1" x14ac:dyDescent="0.2">
      <c r="A401" s="6"/>
      <c r="C401" s="2"/>
      <c r="D401" s="2"/>
      <c r="E401" s="2"/>
      <c r="F401" s="2"/>
      <c r="G401" s="3"/>
    </row>
    <row r="402" spans="1:7" ht="11.1" customHeight="1" x14ac:dyDescent="0.2">
      <c r="A402" s="6"/>
      <c r="C402" s="8"/>
      <c r="D402" s="12"/>
      <c r="E402" s="8"/>
      <c r="F402" s="9"/>
      <c r="G402" s="8"/>
    </row>
    <row r="403" spans="1:7" ht="11.1" customHeight="1" x14ac:dyDescent="0.2">
      <c r="A403" s="6"/>
      <c r="C403" s="8"/>
      <c r="D403" s="12"/>
      <c r="E403" s="8"/>
      <c r="F403" s="9"/>
      <c r="G403" s="8"/>
    </row>
    <row r="404" spans="1:7" ht="11.1" customHeight="1" x14ac:dyDescent="0.2">
      <c r="A404" s="6"/>
      <c r="C404" s="8"/>
      <c r="D404" s="12"/>
      <c r="E404" s="8"/>
      <c r="F404" s="9"/>
      <c r="G404" s="8"/>
    </row>
    <row r="405" spans="1:7" ht="11.1" customHeight="1" x14ac:dyDescent="0.2">
      <c r="A405" s="6"/>
      <c r="C405" s="8"/>
      <c r="D405" s="12"/>
      <c r="E405" s="8"/>
      <c r="F405" s="9"/>
      <c r="G405" s="8"/>
    </row>
    <row r="406" spans="1:7" ht="11.1" customHeight="1" x14ac:dyDescent="0.2">
      <c r="A406" s="6"/>
      <c r="C406" s="8"/>
      <c r="D406" s="12"/>
      <c r="E406" s="8"/>
      <c r="F406" s="9"/>
      <c r="G406" s="8"/>
    </row>
    <row r="407" spans="1:7" ht="11.1" customHeight="1" x14ac:dyDescent="0.2">
      <c r="A407" s="6"/>
      <c r="C407" s="8"/>
      <c r="D407" s="12"/>
      <c r="E407" s="8"/>
      <c r="F407" s="9"/>
      <c r="G407" s="8"/>
    </row>
    <row r="408" spans="1:7" ht="11.1" customHeight="1" x14ac:dyDescent="0.2">
      <c r="A408" s="6"/>
      <c r="C408" s="8"/>
      <c r="D408" s="12"/>
      <c r="E408" s="8"/>
      <c r="F408" s="9"/>
      <c r="G408" s="8"/>
    </row>
    <row r="409" spans="1:7" ht="11.1" customHeight="1" x14ac:dyDescent="0.2">
      <c r="A409" s="6"/>
      <c r="C409" s="8"/>
      <c r="D409" s="12"/>
      <c r="E409" s="8"/>
      <c r="F409" s="9"/>
      <c r="G409" s="8"/>
    </row>
    <row r="410" spans="1:7" ht="11.1" customHeight="1" x14ac:dyDescent="0.2">
      <c r="A410" s="6"/>
      <c r="C410" s="8"/>
      <c r="D410" s="12"/>
      <c r="E410" s="8"/>
      <c r="F410" s="9"/>
      <c r="G410" s="8"/>
    </row>
    <row r="411" spans="1:7" ht="11.1" customHeight="1" x14ac:dyDescent="0.2">
      <c r="A411" s="6"/>
      <c r="C411" s="8"/>
      <c r="D411" s="12"/>
      <c r="E411" s="8"/>
      <c r="F411" s="9"/>
      <c r="G411" s="8"/>
    </row>
    <row r="413" spans="1:7" ht="11.1" customHeight="1" x14ac:dyDescent="0.2">
      <c r="A413" s="6"/>
      <c r="C413" s="2"/>
      <c r="D413" s="2"/>
      <c r="E413" s="2"/>
      <c r="F413" s="2"/>
      <c r="G413" s="3"/>
    </row>
    <row r="414" spans="1:7" ht="11.1" customHeight="1" x14ac:dyDescent="0.2">
      <c r="A414" s="6"/>
      <c r="C414" s="8"/>
      <c r="D414" s="12"/>
      <c r="E414" s="8"/>
      <c r="F414" s="9"/>
      <c r="G414" s="8"/>
    </row>
    <row r="415" spans="1:7" ht="11.1" customHeight="1" x14ac:dyDescent="0.2">
      <c r="A415" s="6"/>
      <c r="C415" s="8"/>
      <c r="D415" s="12"/>
      <c r="E415" s="8"/>
      <c r="F415" s="9"/>
      <c r="G415" s="8"/>
    </row>
    <row r="416" spans="1:7" ht="11.1" customHeight="1" x14ac:dyDescent="0.2">
      <c r="A416" s="6"/>
      <c r="C416" s="8"/>
      <c r="D416" s="12"/>
      <c r="E416" s="8"/>
      <c r="F416" s="9"/>
      <c r="G416" s="8"/>
    </row>
    <row r="418" spans="1:7" ht="11.1" customHeight="1" x14ac:dyDescent="0.2">
      <c r="A418" s="6"/>
      <c r="C418" s="2"/>
      <c r="D418" s="2"/>
      <c r="E418" s="2"/>
      <c r="F418" s="2"/>
      <c r="G418" s="3"/>
    </row>
    <row r="419" spans="1:7" ht="11.1" customHeight="1" x14ac:dyDescent="0.2">
      <c r="A419" s="6"/>
      <c r="C419" s="8"/>
      <c r="D419" s="12"/>
      <c r="E419" s="8"/>
      <c r="F419" s="9"/>
      <c r="G419" s="8"/>
    </row>
    <row r="420" spans="1:7" ht="11.1" customHeight="1" x14ac:dyDescent="0.2">
      <c r="A420" s="6"/>
      <c r="C420" s="8"/>
      <c r="D420" s="12"/>
      <c r="E420" s="8"/>
      <c r="F420" s="9"/>
      <c r="G420" s="8"/>
    </row>
    <row r="421" spans="1:7" ht="11.1" customHeight="1" x14ac:dyDescent="0.2">
      <c r="A421" s="6"/>
      <c r="C421" s="8"/>
      <c r="D421" s="12"/>
      <c r="E421" s="8"/>
      <c r="F421" s="9"/>
      <c r="G421" s="8"/>
    </row>
    <row r="422" spans="1:7" ht="11.1" customHeight="1" x14ac:dyDescent="0.2">
      <c r="A422" s="6"/>
      <c r="C422" s="8"/>
      <c r="D422" s="12"/>
      <c r="E422" s="8"/>
      <c r="F422" s="9"/>
      <c r="G422" s="8"/>
    </row>
    <row r="423" spans="1:7" ht="11.1" customHeight="1" x14ac:dyDescent="0.2">
      <c r="A423" s="6"/>
      <c r="C423" s="8"/>
      <c r="D423" s="12"/>
      <c r="E423" s="8"/>
      <c r="F423" s="9"/>
      <c r="G423" s="8"/>
    </row>
    <row r="424" spans="1:7" ht="11.1" customHeight="1" x14ac:dyDescent="0.2">
      <c r="A424" s="6"/>
      <c r="C424" s="8"/>
      <c r="D424" s="12"/>
      <c r="E424" s="8"/>
      <c r="F424" s="9"/>
      <c r="G424" s="8"/>
    </row>
    <row r="425" spans="1:7" ht="11.1" customHeight="1" x14ac:dyDescent="0.2">
      <c r="A425" s="6"/>
      <c r="C425" s="8"/>
      <c r="D425" s="12"/>
      <c r="E425" s="8"/>
      <c r="F425" s="9"/>
      <c r="G425" s="8"/>
    </row>
    <row r="426" spans="1:7" ht="11.1" customHeight="1" x14ac:dyDescent="0.2">
      <c r="A426" s="6"/>
      <c r="C426" s="8"/>
      <c r="D426" s="12"/>
      <c r="E426" s="8"/>
      <c r="F426" s="9"/>
      <c r="G426" s="8"/>
    </row>
    <row r="428" spans="1:7" ht="11.1" customHeight="1" x14ac:dyDescent="0.2">
      <c r="A428" s="6"/>
      <c r="C428" s="2"/>
      <c r="D428" s="2"/>
      <c r="E428" s="2"/>
      <c r="F428" s="2"/>
      <c r="G428" s="3"/>
    </row>
    <row r="429" spans="1:7" ht="11.1" customHeight="1" x14ac:dyDescent="0.2">
      <c r="A429" s="6"/>
      <c r="C429" s="8"/>
      <c r="D429" s="12"/>
      <c r="E429" s="8"/>
      <c r="F429" s="9"/>
      <c r="G429" s="8"/>
    </row>
    <row r="430" spans="1:7" ht="11.1" customHeight="1" x14ac:dyDescent="0.2">
      <c r="A430" s="6"/>
      <c r="C430" s="8"/>
      <c r="D430" s="12"/>
      <c r="E430" s="8"/>
      <c r="F430" s="9"/>
      <c r="G430" s="8"/>
    </row>
    <row r="431" spans="1:7" ht="11.1" customHeight="1" x14ac:dyDescent="0.2">
      <c r="A431" s="6"/>
      <c r="C431" s="8"/>
      <c r="D431" s="12"/>
      <c r="E431" s="8"/>
      <c r="F431" s="9"/>
      <c r="G431" s="8"/>
    </row>
    <row r="432" spans="1:7" ht="11.1" customHeight="1" x14ac:dyDescent="0.2">
      <c r="A432" s="6"/>
      <c r="C432" s="8"/>
      <c r="D432" s="12"/>
      <c r="E432" s="8"/>
      <c r="F432" s="9"/>
      <c r="G432" s="8"/>
    </row>
    <row r="433" spans="1:7" ht="11.1" customHeight="1" x14ac:dyDescent="0.2">
      <c r="A433" s="6"/>
      <c r="C433" s="8"/>
      <c r="D433" s="12"/>
      <c r="E433" s="8"/>
      <c r="F433" s="9"/>
      <c r="G433" s="8"/>
    </row>
    <row r="434" spans="1:7" ht="11.1" customHeight="1" x14ac:dyDescent="0.2">
      <c r="A434" s="6"/>
      <c r="C434" s="8"/>
      <c r="D434" s="12"/>
      <c r="E434" s="8"/>
      <c r="F434" s="9"/>
      <c r="G434" s="8"/>
    </row>
    <row r="435" spans="1:7" ht="11.1" customHeight="1" x14ac:dyDescent="0.2">
      <c r="A435" s="6"/>
      <c r="C435" s="8"/>
      <c r="D435" s="12"/>
      <c r="E435" s="8"/>
      <c r="F435" s="9"/>
      <c r="G435" s="8"/>
    </row>
    <row r="436" spans="1:7" ht="11.1" customHeight="1" x14ac:dyDescent="0.2">
      <c r="A436" s="6"/>
      <c r="C436" s="8"/>
      <c r="D436" s="12"/>
      <c r="E436" s="8"/>
      <c r="F436" s="9"/>
      <c r="G436" s="8"/>
    </row>
    <row r="438" spans="1:7" ht="11.1" customHeight="1" x14ac:dyDescent="0.2">
      <c r="A438" s="6"/>
      <c r="C438" s="2"/>
      <c r="D438" s="2"/>
      <c r="E438" s="2"/>
      <c r="F438" s="2"/>
      <c r="G438" s="3"/>
    </row>
    <row r="439" spans="1:7" ht="11.1" customHeight="1" x14ac:dyDescent="0.2">
      <c r="A439" s="6"/>
      <c r="C439" s="8"/>
      <c r="D439" s="12"/>
      <c r="E439" s="8"/>
      <c r="F439" s="9"/>
      <c r="G439" s="8"/>
    </row>
    <row r="440" spans="1:7" ht="11.1" customHeight="1" x14ac:dyDescent="0.2">
      <c r="A440" s="6"/>
      <c r="C440" s="8"/>
      <c r="D440" s="12"/>
      <c r="E440" s="8"/>
      <c r="F440" s="9"/>
      <c r="G440" s="8"/>
    </row>
    <row r="441" spans="1:7" ht="11.1" customHeight="1" x14ac:dyDescent="0.2">
      <c r="A441" s="6"/>
      <c r="C441" s="8"/>
      <c r="D441" s="12"/>
      <c r="E441" s="8"/>
      <c r="F441" s="9"/>
      <c r="G441" s="8"/>
    </row>
    <row r="442" spans="1:7" ht="11.1" customHeight="1" x14ac:dyDescent="0.2">
      <c r="A442" s="6"/>
      <c r="C442" s="8"/>
      <c r="D442" s="12"/>
      <c r="E442" s="8"/>
      <c r="F442" s="9"/>
      <c r="G442" s="8"/>
    </row>
    <row r="443" spans="1:7" ht="11.1" customHeight="1" x14ac:dyDescent="0.2">
      <c r="A443" s="6"/>
      <c r="C443" s="8"/>
      <c r="D443" s="12"/>
      <c r="E443" s="8"/>
      <c r="F443" s="9"/>
      <c r="G443" s="8"/>
    </row>
    <row r="444" spans="1:7" ht="11.1" customHeight="1" x14ac:dyDescent="0.2">
      <c r="A444" s="6"/>
      <c r="C444" s="8"/>
      <c r="D444" s="12"/>
      <c r="E444" s="8"/>
      <c r="F444" s="9"/>
      <c r="G444" s="8"/>
    </row>
    <row r="445" spans="1:7" ht="11.1" customHeight="1" x14ac:dyDescent="0.2">
      <c r="A445" s="6"/>
      <c r="C445" s="8"/>
      <c r="D445" s="12"/>
      <c r="E445" s="8"/>
      <c r="F445" s="9"/>
      <c r="G445" s="8"/>
    </row>
    <row r="446" spans="1:7" ht="11.1" customHeight="1" x14ac:dyDescent="0.2">
      <c r="A446" s="6"/>
      <c r="C446" s="8"/>
      <c r="D446" s="12"/>
      <c r="E446" s="8"/>
      <c r="F446" s="9"/>
      <c r="G446" s="8"/>
    </row>
    <row r="447" spans="1:7" ht="11.1" customHeight="1" x14ac:dyDescent="0.2">
      <c r="A447" s="6"/>
      <c r="C447" s="8"/>
      <c r="D447" s="12"/>
      <c r="E447" s="8"/>
      <c r="F447" s="9"/>
      <c r="G447" s="8"/>
    </row>
    <row r="448" spans="1:7" ht="11.1" customHeight="1" x14ac:dyDescent="0.2">
      <c r="A448" s="6"/>
      <c r="C448" s="8"/>
      <c r="D448" s="12"/>
      <c r="E448" s="8"/>
      <c r="F448" s="9"/>
      <c r="G448" s="8"/>
    </row>
    <row r="450" spans="1:7" ht="11.1" customHeight="1" x14ac:dyDescent="0.2">
      <c r="A450" s="6"/>
      <c r="C450" s="2"/>
      <c r="D450" s="2"/>
      <c r="E450" s="2"/>
      <c r="F450" s="2"/>
      <c r="G450" s="3"/>
    </row>
    <row r="451" spans="1:7" ht="11.1" customHeight="1" x14ac:dyDescent="0.2">
      <c r="A451" s="6"/>
      <c r="C451" s="8"/>
      <c r="D451" s="12"/>
      <c r="E451" s="8"/>
      <c r="F451" s="9"/>
      <c r="G451" s="8"/>
    </row>
    <row r="452" spans="1:7" ht="11.1" customHeight="1" x14ac:dyDescent="0.2">
      <c r="A452" s="6"/>
      <c r="C452" s="8"/>
      <c r="D452" s="12"/>
      <c r="E452" s="8"/>
      <c r="F452" s="9"/>
      <c r="G452" s="8"/>
    </row>
    <row r="453" spans="1:7" ht="11.1" customHeight="1" x14ac:dyDescent="0.2">
      <c r="A453" s="6"/>
      <c r="C453" s="8"/>
      <c r="D453" s="12"/>
      <c r="E453" s="8"/>
      <c r="F453" s="9"/>
      <c r="G453" s="8"/>
    </row>
    <row r="454" spans="1:7" ht="11.1" customHeight="1" x14ac:dyDescent="0.2">
      <c r="A454" s="6"/>
      <c r="C454" s="8"/>
      <c r="D454" s="12"/>
      <c r="E454" s="8"/>
      <c r="F454" s="9"/>
      <c r="G454" s="8"/>
    </row>
    <row r="455" spans="1:7" ht="11.1" customHeight="1" x14ac:dyDescent="0.2">
      <c r="A455" s="6"/>
      <c r="C455" s="8"/>
      <c r="D455" s="12"/>
      <c r="E455" s="8"/>
      <c r="F455" s="9"/>
      <c r="G455" s="8"/>
    </row>
    <row r="456" spans="1:7" ht="11.1" customHeight="1" x14ac:dyDescent="0.2">
      <c r="A456" s="6"/>
      <c r="C456" s="8"/>
      <c r="D456" s="12"/>
      <c r="E456" s="8"/>
      <c r="F456" s="9"/>
      <c r="G456" s="8"/>
    </row>
    <row r="457" spans="1:7" ht="11.1" customHeight="1" x14ac:dyDescent="0.2">
      <c r="A457" s="6"/>
      <c r="C457" s="8"/>
      <c r="D457" s="12"/>
      <c r="E457" s="8"/>
      <c r="F457" s="9"/>
      <c r="G457" s="8"/>
    </row>
    <row r="458" spans="1:7" ht="11.1" customHeight="1" x14ac:dyDescent="0.2">
      <c r="A458" s="6"/>
      <c r="C458" s="8"/>
      <c r="D458" s="12"/>
      <c r="E458" s="8"/>
      <c r="F458" s="9"/>
      <c r="G458" s="8"/>
    </row>
    <row r="459" spans="1:7" ht="11.1" customHeight="1" x14ac:dyDescent="0.2">
      <c r="A459" s="6"/>
      <c r="C459" s="8"/>
      <c r="D459" s="12"/>
      <c r="E459" s="8"/>
      <c r="F459" s="9"/>
      <c r="G459" s="8"/>
    </row>
    <row r="460" spans="1:7" ht="11.1" customHeight="1" x14ac:dyDescent="0.2">
      <c r="A460" s="6"/>
      <c r="C460" s="8"/>
      <c r="D460" s="12"/>
      <c r="E460" s="8"/>
      <c r="F460" s="9"/>
      <c r="G460" s="8"/>
    </row>
    <row r="462" spans="1:7" ht="11.1" customHeight="1" x14ac:dyDescent="0.2">
      <c r="A462" s="6"/>
      <c r="C462" s="2"/>
      <c r="D462" s="2"/>
      <c r="E462" s="2"/>
      <c r="F462" s="2"/>
      <c r="G462" s="3"/>
    </row>
    <row r="463" spans="1:7" ht="11.1" customHeight="1" x14ac:dyDescent="0.2">
      <c r="A463" s="6"/>
      <c r="C463" s="8"/>
      <c r="D463" s="12"/>
      <c r="E463" s="8"/>
      <c r="F463" s="9"/>
      <c r="G463" s="8"/>
    </row>
    <row r="464" spans="1:7" ht="11.1" customHeight="1" x14ac:dyDescent="0.2">
      <c r="A464" s="6"/>
      <c r="C464" s="8"/>
      <c r="D464" s="12"/>
      <c r="E464" s="8"/>
      <c r="F464" s="9"/>
      <c r="G464" s="8"/>
    </row>
    <row r="465" spans="1:7" ht="11.1" customHeight="1" x14ac:dyDescent="0.2">
      <c r="A465" s="6"/>
      <c r="C465" s="8"/>
      <c r="D465" s="12"/>
      <c r="E465" s="8"/>
      <c r="F465" s="9"/>
      <c r="G465" s="8"/>
    </row>
    <row r="466" spans="1:7" ht="11.1" customHeight="1" x14ac:dyDescent="0.2">
      <c r="A466" s="6"/>
      <c r="C466" s="8"/>
      <c r="D466" s="12"/>
      <c r="E466" s="8"/>
      <c r="F466" s="9"/>
      <c r="G466" s="8"/>
    </row>
    <row r="467" spans="1:7" ht="11.1" customHeight="1" x14ac:dyDescent="0.2">
      <c r="A467" s="6"/>
      <c r="C467" s="8"/>
      <c r="D467" s="12"/>
      <c r="E467" s="8"/>
      <c r="F467" s="9"/>
      <c r="G467" s="8"/>
    </row>
    <row r="468" spans="1:7" ht="11.1" customHeight="1" x14ac:dyDescent="0.2">
      <c r="A468" s="6"/>
      <c r="C468" s="8"/>
      <c r="D468" s="12"/>
      <c r="E468" s="8"/>
      <c r="F468" s="9"/>
      <c r="G468" s="8"/>
    </row>
    <row r="469" spans="1:7" ht="11.1" customHeight="1" x14ac:dyDescent="0.2">
      <c r="A469" s="6"/>
      <c r="C469" s="8"/>
      <c r="D469" s="12"/>
      <c r="E469" s="8"/>
      <c r="F469" s="9"/>
      <c r="G469" s="8"/>
    </row>
    <row r="470" spans="1:7" ht="11.1" customHeight="1" x14ac:dyDescent="0.2">
      <c r="A470" s="6"/>
      <c r="C470" s="8"/>
      <c r="D470" s="12"/>
      <c r="E470" s="8"/>
      <c r="F470" s="9"/>
      <c r="G470" s="8"/>
    </row>
    <row r="471" spans="1:7" ht="11.1" customHeight="1" x14ac:dyDescent="0.2">
      <c r="A471" s="6"/>
      <c r="C471" s="8"/>
      <c r="D471" s="12"/>
      <c r="E471" s="8"/>
      <c r="F471" s="9"/>
      <c r="G471" s="8"/>
    </row>
    <row r="472" spans="1:7" ht="11.1" customHeight="1" x14ac:dyDescent="0.2">
      <c r="A472" s="6"/>
      <c r="C472" s="8"/>
      <c r="D472" s="12"/>
      <c r="E472" s="8"/>
      <c r="F472" s="9"/>
      <c r="G472" s="8"/>
    </row>
    <row r="474" spans="1:7" ht="11.1" customHeight="1" x14ac:dyDescent="0.2">
      <c r="A474" s="6"/>
      <c r="C474" s="2"/>
      <c r="D474" s="2"/>
      <c r="E474" s="2"/>
      <c r="F474" s="2"/>
      <c r="G474" s="3"/>
    </row>
    <row r="475" spans="1:7" ht="11.1" customHeight="1" x14ac:dyDescent="0.2">
      <c r="A475" s="6"/>
      <c r="C475" s="8"/>
      <c r="D475" s="12"/>
      <c r="E475" s="8"/>
      <c r="F475" s="9"/>
      <c r="G475" s="8"/>
    </row>
    <row r="476" spans="1:7" ht="11.1" customHeight="1" x14ac:dyDescent="0.2">
      <c r="A476" s="6"/>
      <c r="C476" s="8"/>
      <c r="D476" s="12"/>
      <c r="E476" s="8"/>
      <c r="F476" s="9"/>
      <c r="G476" s="8"/>
    </row>
    <row r="477" spans="1:7" ht="11.1" customHeight="1" x14ac:dyDescent="0.2">
      <c r="A477" s="6"/>
      <c r="C477" s="8"/>
      <c r="D477" s="12"/>
      <c r="E477" s="8"/>
      <c r="F477" s="9"/>
      <c r="G477" s="8"/>
    </row>
    <row r="478" spans="1:7" ht="11.1" customHeight="1" x14ac:dyDescent="0.2">
      <c r="A478" s="6"/>
      <c r="C478" s="8"/>
      <c r="D478" s="12"/>
      <c r="E478" s="8"/>
      <c r="F478" s="9"/>
      <c r="G478" s="8"/>
    </row>
    <row r="479" spans="1:7" ht="11.1" customHeight="1" x14ac:dyDescent="0.2">
      <c r="A479" s="6"/>
      <c r="C479" s="8"/>
      <c r="D479" s="12"/>
      <c r="E479" s="8"/>
      <c r="F479" s="9"/>
      <c r="G479" s="8"/>
    </row>
    <row r="480" spans="1:7" ht="11.1" customHeight="1" x14ac:dyDescent="0.2">
      <c r="A480" s="6"/>
      <c r="C480" s="8"/>
      <c r="D480" s="12"/>
      <c r="E480" s="8"/>
      <c r="F480" s="9"/>
      <c r="G480" s="8"/>
    </row>
    <row r="481" spans="1:7" ht="11.1" customHeight="1" x14ac:dyDescent="0.2">
      <c r="A481" s="6"/>
      <c r="C481" s="8"/>
      <c r="D481" s="12"/>
      <c r="E481" s="8"/>
      <c r="F481" s="9"/>
      <c r="G481" s="8"/>
    </row>
    <row r="482" spans="1:7" ht="11.1" customHeight="1" x14ac:dyDescent="0.2">
      <c r="A482" s="6"/>
      <c r="C482" s="8"/>
      <c r="D482" s="12"/>
      <c r="E482" s="8"/>
      <c r="F482" s="9"/>
      <c r="G482" s="8"/>
    </row>
    <row r="483" spans="1:7" ht="11.1" customHeight="1" x14ac:dyDescent="0.2">
      <c r="A483" s="6"/>
      <c r="C483" s="8"/>
      <c r="D483" s="12"/>
      <c r="E483" s="8"/>
      <c r="F483" s="9"/>
      <c r="G483" s="8"/>
    </row>
    <row r="484" spans="1:7" ht="11.1" customHeight="1" x14ac:dyDescent="0.2">
      <c r="A484" s="6"/>
      <c r="C484" s="8"/>
      <c r="D484" s="12"/>
      <c r="E484" s="8"/>
      <c r="F484" s="9"/>
      <c r="G484" s="8"/>
    </row>
    <row r="486" spans="1:7" ht="11.1" customHeight="1" x14ac:dyDescent="0.2">
      <c r="A486" s="14"/>
      <c r="C486" s="14"/>
      <c r="D486" s="14"/>
      <c r="E486" s="14"/>
      <c r="F486" s="14"/>
      <c r="G486" s="14"/>
    </row>
    <row r="487" spans="1:7" ht="11.1" customHeight="1" x14ac:dyDescent="0.2">
      <c r="A487" s="14"/>
      <c r="C487" s="14"/>
      <c r="D487" s="14"/>
      <c r="E487" s="14"/>
      <c r="F487" s="14"/>
      <c r="G487" s="14"/>
    </row>
    <row r="488" spans="1:7" ht="11.1" customHeight="1" x14ac:dyDescent="0.2">
      <c r="A488" s="14"/>
      <c r="C488" s="14"/>
      <c r="D488" s="14"/>
      <c r="E488" s="14"/>
      <c r="F488" s="14"/>
      <c r="G488" s="14"/>
    </row>
    <row r="489" spans="1:7" ht="11.1" customHeight="1" x14ac:dyDescent="0.2">
      <c r="A489" s="14"/>
      <c r="C489" s="14"/>
      <c r="D489" s="14"/>
      <c r="E489" s="14"/>
      <c r="F489" s="14"/>
      <c r="G489" s="14"/>
    </row>
    <row r="490" spans="1:7" ht="11.1" customHeight="1" x14ac:dyDescent="0.2">
      <c r="A490" s="14"/>
      <c r="C490" s="14"/>
      <c r="D490" s="14"/>
      <c r="E490" s="14"/>
      <c r="F490" s="14"/>
      <c r="G490" s="14"/>
    </row>
    <row r="491" spans="1:7" ht="11.1" customHeight="1" x14ac:dyDescent="0.2">
      <c r="A491" s="14"/>
      <c r="C491" s="14"/>
      <c r="D491" s="14"/>
      <c r="E491" s="14"/>
      <c r="F491" s="14"/>
      <c r="G491" s="14"/>
    </row>
    <row r="492" spans="1:7" ht="11.1" customHeight="1" x14ac:dyDescent="0.2">
      <c r="A492" s="14"/>
      <c r="C492" s="14"/>
      <c r="D492" s="14"/>
      <c r="E492" s="14"/>
      <c r="F492" s="14"/>
      <c r="G492" s="14"/>
    </row>
    <row r="493" spans="1:7" ht="11.1" customHeight="1" x14ac:dyDescent="0.2">
      <c r="A493" s="14"/>
      <c r="C493" s="14"/>
      <c r="D493" s="14"/>
      <c r="E493" s="14"/>
      <c r="F493" s="14"/>
      <c r="G493" s="14"/>
    </row>
    <row r="494" spans="1:7" ht="11.1" customHeight="1" x14ac:dyDescent="0.2">
      <c r="A494" s="14"/>
      <c r="C494" s="14"/>
      <c r="D494" s="14"/>
      <c r="E494" s="14"/>
      <c r="F494" s="14"/>
      <c r="G494" s="14"/>
    </row>
    <row r="495" spans="1:7" ht="11.1" customHeight="1" x14ac:dyDescent="0.2">
      <c r="A495" s="14"/>
      <c r="C495" s="14"/>
      <c r="D495" s="14"/>
      <c r="E495" s="14"/>
      <c r="F495" s="14"/>
      <c r="G495" s="14"/>
    </row>
    <row r="496" spans="1:7" ht="11.1" customHeight="1" x14ac:dyDescent="0.2">
      <c r="A496" s="14"/>
      <c r="C496" s="14"/>
      <c r="D496" s="14"/>
      <c r="E496" s="14"/>
      <c r="F496" s="14"/>
      <c r="G496" s="14"/>
    </row>
    <row r="497" spans="1:7" ht="11.1" customHeight="1" x14ac:dyDescent="0.2">
      <c r="A497" s="14"/>
      <c r="C497" s="14"/>
      <c r="D497" s="14"/>
      <c r="E497" s="14"/>
      <c r="F497" s="14"/>
      <c r="G497" s="14"/>
    </row>
    <row r="498" spans="1:7" ht="11.1" customHeight="1" x14ac:dyDescent="0.2">
      <c r="A498" s="14"/>
      <c r="C498" s="14"/>
      <c r="D498" s="14"/>
      <c r="E498" s="14"/>
      <c r="F498" s="14"/>
      <c r="G498" s="14"/>
    </row>
    <row r="499" spans="1:7" ht="11.1" customHeight="1" x14ac:dyDescent="0.2">
      <c r="A499" s="14"/>
      <c r="C499" s="14"/>
      <c r="D499" s="14"/>
      <c r="E499" s="14"/>
      <c r="F499" s="14"/>
      <c r="G499" s="14"/>
    </row>
    <row r="500" spans="1:7" ht="11.1" customHeight="1" x14ac:dyDescent="0.2">
      <c r="A500" s="14"/>
      <c r="C500" s="14"/>
      <c r="D500" s="14"/>
      <c r="E500" s="14"/>
      <c r="F500" s="14"/>
      <c r="G500" s="14"/>
    </row>
    <row r="501" spans="1:7" ht="11.1" customHeight="1" x14ac:dyDescent="0.2">
      <c r="A501" s="14"/>
      <c r="C501" s="14"/>
      <c r="D501" s="14"/>
      <c r="E501" s="14"/>
      <c r="F501" s="14"/>
      <c r="G501" s="14"/>
    </row>
    <row r="502" spans="1:7" ht="11.1" customHeight="1" x14ac:dyDescent="0.2">
      <c r="A502" s="14"/>
      <c r="C502" s="14"/>
      <c r="D502" s="14"/>
      <c r="E502" s="14"/>
      <c r="F502" s="14"/>
      <c r="G502" s="14"/>
    </row>
    <row r="503" spans="1:7" ht="11.1" customHeight="1" x14ac:dyDescent="0.2">
      <c r="A503" s="14"/>
      <c r="C503" s="14"/>
      <c r="D503" s="14"/>
      <c r="E503" s="14"/>
      <c r="F503" s="14"/>
      <c r="G503" s="14"/>
    </row>
    <row r="504" spans="1:7" ht="11.1" customHeight="1" x14ac:dyDescent="0.2">
      <c r="A504" s="14"/>
      <c r="C504" s="14"/>
      <c r="D504" s="14"/>
      <c r="E504" s="14"/>
      <c r="F504" s="14"/>
      <c r="G504" s="14"/>
    </row>
    <row r="505" spans="1:7" ht="11.1" customHeight="1" x14ac:dyDescent="0.2">
      <c r="A505" s="14"/>
      <c r="C505" s="14"/>
      <c r="D505" s="14"/>
      <c r="E505" s="14"/>
      <c r="F505" s="14"/>
      <c r="G505" s="14"/>
    </row>
    <row r="506" spans="1:7" ht="11.1" customHeight="1" x14ac:dyDescent="0.2">
      <c r="A506" s="14"/>
      <c r="C506" s="14"/>
      <c r="D506" s="14"/>
      <c r="E506" s="14"/>
      <c r="F506" s="14"/>
      <c r="G506" s="14"/>
    </row>
    <row r="507" spans="1:7" ht="11.1" customHeight="1" x14ac:dyDescent="0.2">
      <c r="A507" s="14"/>
      <c r="C507" s="14"/>
      <c r="D507" s="14"/>
      <c r="E507" s="14"/>
      <c r="F507" s="14"/>
      <c r="G507" s="14"/>
    </row>
    <row r="508" spans="1:7" ht="11.1" customHeight="1" x14ac:dyDescent="0.2">
      <c r="A508" s="14"/>
      <c r="C508" s="14"/>
      <c r="D508" s="14"/>
      <c r="E508" s="14"/>
      <c r="F508" s="14"/>
      <c r="G508" s="14"/>
    </row>
  </sheetData>
  <mergeCells count="4">
    <mergeCell ref="A1:H1"/>
    <mergeCell ref="A81:G81"/>
    <mergeCell ref="A2:A3"/>
    <mergeCell ref="B2:B3"/>
  </mergeCells>
  <phoneticPr fontId="2" type="noConversion"/>
  <printOptions horizontalCentered="1"/>
  <pageMargins left="0.5" right="0.5" top="0.5" bottom="0.5" header="0.3" footer="0.3"/>
  <pageSetup scale="74" firstPageNumber="40" fitToHeight="0" orientation="portrait" useFirstPageNumber="1" r:id="rId1"/>
  <headerFooter alignWithMargins="0"/>
  <rowBreaks count="1" manualBreakCount="1">
    <brk id="5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A6F1F"/>
  </sheetPr>
  <dimension ref="A1:M208"/>
  <sheetViews>
    <sheetView zoomScaleNormal="100" workbookViewId="0">
      <selection sqref="A1:K1"/>
    </sheetView>
  </sheetViews>
  <sheetFormatPr defaultColWidth="9.140625" defaultRowHeight="11.1" customHeight="1" x14ac:dyDescent="0.2"/>
  <cols>
    <col min="1" max="1" width="18.28515625" style="7" customWidth="1"/>
    <col min="2" max="11" width="7.140625" style="1" customWidth="1"/>
    <col min="12" max="16384" width="9.140625" style="1"/>
  </cols>
  <sheetData>
    <row r="1" spans="1:13" ht="16.5" customHeight="1" x14ac:dyDescent="0.2">
      <c r="A1" s="558" t="s">
        <v>143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3" ht="15" customHeight="1" x14ac:dyDescent="0.2">
      <c r="A2" s="105" t="s">
        <v>0</v>
      </c>
      <c r="B2" s="105">
        <v>2011</v>
      </c>
      <c r="C2" s="105">
        <v>2012</v>
      </c>
      <c r="D2" s="105">
        <v>2013</v>
      </c>
      <c r="E2" s="105">
        <v>2014</v>
      </c>
      <c r="F2" s="105">
        <v>2015</v>
      </c>
      <c r="G2" s="105">
        <v>2016</v>
      </c>
      <c r="H2" s="105">
        <v>2017</v>
      </c>
      <c r="I2" s="105">
        <v>2018</v>
      </c>
      <c r="J2" s="105">
        <v>2019</v>
      </c>
      <c r="K2" s="105">
        <v>2020</v>
      </c>
    </row>
    <row r="3" spans="1:13" ht="12" customHeight="1" x14ac:dyDescent="0.2">
      <c r="A3" s="182" t="s">
        <v>47</v>
      </c>
      <c r="B3" s="182"/>
      <c r="C3" s="182"/>
      <c r="D3" s="182"/>
      <c r="E3" s="182"/>
      <c r="F3" s="182"/>
      <c r="G3" s="182"/>
      <c r="H3" s="182"/>
    </row>
    <row r="4" spans="1:13" ht="12" customHeight="1" x14ac:dyDescent="0.25">
      <c r="A4" s="95"/>
      <c r="B4" s="95"/>
      <c r="C4" s="95"/>
      <c r="D4" s="95"/>
      <c r="E4" s="95"/>
      <c r="F4"/>
      <c r="G4"/>
      <c r="H4"/>
    </row>
    <row r="5" spans="1:13" ht="12" customHeight="1" x14ac:dyDescent="0.2">
      <c r="A5" s="98" t="s">
        <v>63</v>
      </c>
      <c r="B5" s="94" t="s">
        <v>77</v>
      </c>
      <c r="C5" s="94" t="s">
        <v>77</v>
      </c>
      <c r="D5" s="94" t="s">
        <v>77</v>
      </c>
      <c r="E5" s="94">
        <v>780</v>
      </c>
      <c r="F5" s="206" t="s">
        <v>77</v>
      </c>
      <c r="G5" s="206" t="s">
        <v>77</v>
      </c>
      <c r="H5" s="206" t="s">
        <v>77</v>
      </c>
      <c r="I5" s="206" t="s">
        <v>77</v>
      </c>
      <c r="J5" s="206" t="s">
        <v>77</v>
      </c>
      <c r="K5" s="94" t="s">
        <v>77</v>
      </c>
      <c r="M5" s="469"/>
    </row>
    <row r="6" spans="1:13" ht="12" customHeight="1" x14ac:dyDescent="0.2">
      <c r="A6" s="98" t="s">
        <v>79</v>
      </c>
      <c r="B6" s="94" t="s">
        <v>77</v>
      </c>
      <c r="C6" s="94" t="s">
        <v>77</v>
      </c>
      <c r="D6" s="94" t="s">
        <v>77</v>
      </c>
      <c r="E6" s="94">
        <v>35</v>
      </c>
      <c r="F6" s="210" t="s">
        <v>77</v>
      </c>
      <c r="G6" s="206" t="s">
        <v>77</v>
      </c>
      <c r="H6" s="206" t="s">
        <v>77</v>
      </c>
      <c r="I6" s="206" t="s">
        <v>77</v>
      </c>
      <c r="J6" s="206" t="s">
        <v>77</v>
      </c>
      <c r="K6" s="94" t="s">
        <v>77</v>
      </c>
      <c r="M6" s="469"/>
    </row>
    <row r="7" spans="1:13" ht="12" customHeight="1" x14ac:dyDescent="0.2">
      <c r="A7" s="98" t="s">
        <v>80</v>
      </c>
      <c r="B7" s="53" t="s">
        <v>77</v>
      </c>
      <c r="C7" s="53" t="s">
        <v>77</v>
      </c>
      <c r="D7" s="53" t="s">
        <v>77</v>
      </c>
      <c r="E7" s="54">
        <v>2150</v>
      </c>
      <c r="F7" s="211" t="s">
        <v>77</v>
      </c>
      <c r="G7" s="206" t="s">
        <v>77</v>
      </c>
      <c r="H7" s="212" t="s">
        <v>77</v>
      </c>
      <c r="I7" s="212" t="s">
        <v>77</v>
      </c>
      <c r="J7" s="206" t="s">
        <v>77</v>
      </c>
      <c r="K7" s="53" t="s">
        <v>77</v>
      </c>
      <c r="M7" s="469"/>
    </row>
    <row r="8" spans="1:13" ht="12" customHeight="1" x14ac:dyDescent="0.25">
      <c r="A8" s="95"/>
      <c r="B8" s="118"/>
      <c r="C8" s="118"/>
      <c r="D8" s="118"/>
      <c r="E8" s="118"/>
      <c r="F8" s="207"/>
      <c r="G8" s="207"/>
      <c r="H8" s="208"/>
      <c r="I8" s="40"/>
      <c r="J8" s="40"/>
      <c r="K8" s="118"/>
    </row>
    <row r="9" spans="1:13" ht="12" customHeight="1" x14ac:dyDescent="0.2">
      <c r="A9" s="182" t="s">
        <v>49</v>
      </c>
      <c r="B9" s="183"/>
      <c r="C9" s="183"/>
      <c r="D9" s="183"/>
      <c r="E9" s="183"/>
      <c r="F9" s="209"/>
      <c r="G9" s="209"/>
      <c r="H9" s="209"/>
      <c r="I9" s="40"/>
      <c r="J9" s="40"/>
      <c r="K9" s="183"/>
    </row>
    <row r="10" spans="1:13" ht="12" customHeight="1" x14ac:dyDescent="0.25">
      <c r="A10" s="95"/>
      <c r="B10" s="118"/>
      <c r="C10" s="118"/>
      <c r="D10" s="118"/>
      <c r="E10" s="118"/>
      <c r="F10" s="207"/>
      <c r="G10" s="207"/>
      <c r="H10" s="208"/>
      <c r="I10" s="40"/>
      <c r="J10" s="40"/>
      <c r="K10" s="118"/>
    </row>
    <row r="11" spans="1:13" ht="12" customHeight="1" x14ac:dyDescent="0.2">
      <c r="A11" s="98" t="s">
        <v>63</v>
      </c>
      <c r="B11" s="94" t="s">
        <v>77</v>
      </c>
      <c r="C11" s="94" t="s">
        <v>77</v>
      </c>
      <c r="D11" s="94" t="s">
        <v>77</v>
      </c>
      <c r="E11" s="94">
        <v>170</v>
      </c>
      <c r="F11" s="206">
        <v>100</v>
      </c>
      <c r="G11" s="94">
        <v>400</v>
      </c>
      <c r="H11" s="94">
        <v>215</v>
      </c>
      <c r="I11" s="94">
        <v>715</v>
      </c>
      <c r="J11" s="206">
        <v>960</v>
      </c>
      <c r="K11" s="206">
        <v>200</v>
      </c>
      <c r="M11" s="469"/>
    </row>
    <row r="12" spans="1:13" ht="12" customHeight="1" x14ac:dyDescent="0.2">
      <c r="A12" s="241" t="s">
        <v>150</v>
      </c>
      <c r="B12" s="206" t="s">
        <v>77</v>
      </c>
      <c r="C12" s="206" t="s">
        <v>77</v>
      </c>
      <c r="D12" s="206" t="s">
        <v>77</v>
      </c>
      <c r="E12" s="206">
        <v>65</v>
      </c>
      <c r="F12" s="210">
        <v>20</v>
      </c>
      <c r="G12" s="94">
        <v>0</v>
      </c>
      <c r="H12" s="94">
        <v>25</v>
      </c>
      <c r="I12" s="206" t="s">
        <v>93</v>
      </c>
      <c r="J12" s="206" t="s">
        <v>93</v>
      </c>
      <c r="K12" s="206" t="s">
        <v>77</v>
      </c>
      <c r="M12" s="469"/>
    </row>
    <row r="13" spans="1:13" ht="12" customHeight="1" x14ac:dyDescent="0.2">
      <c r="A13" s="431" t="s">
        <v>151</v>
      </c>
      <c r="B13" s="235" t="s">
        <v>77</v>
      </c>
      <c r="C13" s="235" t="s">
        <v>77</v>
      </c>
      <c r="D13" s="235" t="s">
        <v>77</v>
      </c>
      <c r="E13" s="235" t="s">
        <v>77</v>
      </c>
      <c r="F13" s="429">
        <v>1750</v>
      </c>
      <c r="G13" s="54">
        <f>170000/2000</f>
        <v>85</v>
      </c>
      <c r="H13" s="54">
        <v>220</v>
      </c>
      <c r="I13" s="235" t="s">
        <v>93</v>
      </c>
      <c r="J13" s="235" t="s">
        <v>93</v>
      </c>
      <c r="K13" s="235" t="s">
        <v>77</v>
      </c>
      <c r="M13" s="469"/>
    </row>
    <row r="14" spans="1:13" ht="12" customHeight="1" x14ac:dyDescent="0.2">
      <c r="A14" s="431" t="s">
        <v>65</v>
      </c>
      <c r="B14" s="235" t="s">
        <v>77</v>
      </c>
      <c r="C14" s="235" t="s">
        <v>77</v>
      </c>
      <c r="D14" s="235" t="s">
        <v>77</v>
      </c>
      <c r="E14" s="235" t="s">
        <v>77</v>
      </c>
      <c r="F14" s="429">
        <v>1770</v>
      </c>
      <c r="G14" s="54">
        <v>85</v>
      </c>
      <c r="H14" s="54">
        <v>245</v>
      </c>
      <c r="I14" s="54">
        <f>720000/2000</f>
        <v>360</v>
      </c>
      <c r="J14" s="235">
        <v>0</v>
      </c>
      <c r="K14" s="235">
        <f>150000/2000</f>
        <v>75</v>
      </c>
      <c r="M14" s="469"/>
    </row>
    <row r="15" spans="1:13" ht="12" customHeight="1" thickBot="1" x14ac:dyDescent="0.25">
      <c r="A15" s="432" t="s">
        <v>139</v>
      </c>
      <c r="B15" s="407" t="s">
        <v>77</v>
      </c>
      <c r="C15" s="407" t="s">
        <v>77</v>
      </c>
      <c r="D15" s="407" t="s">
        <v>77</v>
      </c>
      <c r="E15" s="407" t="s">
        <v>77</v>
      </c>
      <c r="F15" s="407" t="s">
        <v>77</v>
      </c>
      <c r="G15" s="213">
        <v>1355</v>
      </c>
      <c r="H15" s="213">
        <v>1230</v>
      </c>
      <c r="I15" s="407">
        <v>0</v>
      </c>
      <c r="J15" s="213">
        <v>1500</v>
      </c>
      <c r="K15" s="213">
        <v>2000</v>
      </c>
      <c r="M15" s="469"/>
    </row>
    <row r="16" spans="1:13" ht="13.5" customHeight="1" x14ac:dyDescent="0.2">
      <c r="A16" s="549" t="s">
        <v>152</v>
      </c>
      <c r="B16" s="433"/>
      <c r="C16" s="433"/>
      <c r="D16" s="433"/>
      <c r="E16" s="433"/>
      <c r="F16" s="433"/>
      <c r="G16" s="433"/>
      <c r="H16" s="433"/>
      <c r="I16" s="433"/>
      <c r="J16" s="433"/>
      <c r="K16" s="277"/>
    </row>
    <row r="17" spans="1:11" s="14" customFormat="1" ht="12" customHeight="1" x14ac:dyDescent="0.2">
      <c r="A17" s="517" t="s">
        <v>153</v>
      </c>
      <c r="B17" s="266"/>
      <c r="C17" s="266"/>
      <c r="D17" s="266"/>
      <c r="E17" s="266"/>
      <c r="F17" s="266"/>
      <c r="G17" s="266"/>
      <c r="H17" s="266"/>
      <c r="I17" s="266"/>
      <c r="J17" s="266"/>
      <c r="K17" s="41"/>
    </row>
    <row r="18" spans="1:11" s="14" customFormat="1" ht="11.1" customHeight="1" x14ac:dyDescent="0.2">
      <c r="A18" s="375"/>
      <c r="B18" s="16"/>
      <c r="C18" s="16"/>
      <c r="D18" s="16"/>
      <c r="E18" s="16"/>
      <c r="F18" s="16"/>
      <c r="G18" s="16"/>
      <c r="H18" s="16"/>
      <c r="I18" s="16"/>
      <c r="J18" s="16"/>
    </row>
    <row r="19" spans="1:11" s="14" customFormat="1" ht="11.1" customHeight="1" x14ac:dyDescent="0.2">
      <c r="A19" s="73"/>
      <c r="B19" s="16"/>
      <c r="C19" s="16"/>
      <c r="D19" s="16"/>
      <c r="E19" s="16"/>
      <c r="F19" s="16"/>
      <c r="G19" s="16"/>
      <c r="H19" s="16"/>
      <c r="I19" s="16"/>
      <c r="J19" s="16"/>
    </row>
    <row r="20" spans="1:11" s="14" customFormat="1" ht="11.1" customHeight="1" x14ac:dyDescent="0.2">
      <c r="A20" s="73"/>
      <c r="B20" s="16"/>
      <c r="C20" s="16"/>
      <c r="D20" s="16"/>
      <c r="E20" s="16"/>
      <c r="F20" s="16"/>
      <c r="G20" s="16"/>
      <c r="H20" s="16"/>
      <c r="I20" s="16"/>
      <c r="J20" s="16"/>
    </row>
    <row r="21" spans="1:11" s="14" customFormat="1" ht="11.1" customHeight="1" x14ac:dyDescent="0.2">
      <c r="A21" s="73"/>
      <c r="B21" s="16"/>
      <c r="C21" s="16"/>
      <c r="D21" s="16"/>
      <c r="E21" s="16"/>
      <c r="F21" s="16"/>
      <c r="G21" s="16"/>
      <c r="H21" s="16"/>
      <c r="I21" s="16"/>
      <c r="J21" s="16"/>
    </row>
    <row r="22" spans="1:11" s="14" customFormat="1" ht="11.1" customHeight="1" x14ac:dyDescent="0.2">
      <c r="A22" s="73"/>
      <c r="B22" s="16"/>
      <c r="C22" s="16"/>
      <c r="D22" s="16"/>
      <c r="E22" s="16"/>
      <c r="F22" s="16"/>
      <c r="G22" s="16"/>
      <c r="H22" s="16"/>
      <c r="I22" s="16"/>
      <c r="J22" s="16"/>
    </row>
    <row r="23" spans="1:11" s="14" customFormat="1" ht="11.1" customHeight="1" x14ac:dyDescent="0.2">
      <c r="A23" s="7"/>
      <c r="B23" s="16"/>
      <c r="C23" s="16"/>
      <c r="D23" s="16"/>
      <c r="E23" s="16"/>
      <c r="F23" s="16"/>
      <c r="G23" s="16"/>
      <c r="H23" s="16"/>
      <c r="I23" s="16"/>
      <c r="J23" s="16"/>
    </row>
    <row r="24" spans="1:11" s="14" customFormat="1" ht="11.1" customHeight="1" x14ac:dyDescent="0.2">
      <c r="A24" s="7"/>
      <c r="B24" s="16"/>
      <c r="C24" s="16"/>
      <c r="D24" s="16"/>
      <c r="E24" s="16"/>
      <c r="F24" s="16"/>
      <c r="G24" s="16"/>
      <c r="H24" s="16"/>
      <c r="I24" s="16"/>
      <c r="J24" s="16"/>
    </row>
    <row r="25" spans="1:11" s="14" customFormat="1" ht="11.1" customHeight="1" x14ac:dyDescent="0.2">
      <c r="A25" s="7"/>
      <c r="B25" s="16"/>
      <c r="C25" s="16"/>
      <c r="D25" s="16"/>
      <c r="E25" s="16"/>
      <c r="F25" s="16"/>
      <c r="G25" s="16"/>
      <c r="H25" s="16"/>
      <c r="I25" s="16"/>
      <c r="J25" s="16"/>
    </row>
    <row r="26" spans="1:11" s="14" customFormat="1" ht="11.1" customHeight="1" x14ac:dyDescent="0.2">
      <c r="A26" s="7"/>
      <c r="B26" s="16"/>
      <c r="C26" s="16"/>
      <c r="D26" s="16"/>
      <c r="E26" s="16"/>
      <c r="F26" s="16"/>
      <c r="G26" s="16"/>
      <c r="H26" s="16"/>
      <c r="I26" s="16"/>
      <c r="J26" s="16"/>
    </row>
    <row r="27" spans="1:11" s="14" customFormat="1" ht="11.1" customHeight="1" x14ac:dyDescent="0.2">
      <c r="A27" s="7"/>
    </row>
    <row r="28" spans="1:11" s="14" customFormat="1" ht="11.1" customHeight="1" x14ac:dyDescent="0.2">
      <c r="A28" s="7"/>
      <c r="B28" s="17"/>
      <c r="C28" s="17"/>
      <c r="D28" s="17"/>
      <c r="E28" s="17"/>
      <c r="F28" s="17"/>
      <c r="G28" s="17"/>
      <c r="H28" s="17"/>
      <c r="I28" s="17"/>
      <c r="J28" s="17"/>
    </row>
    <row r="29" spans="1:11" s="14" customFormat="1" ht="11.1" customHeight="1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</row>
    <row r="30" spans="1:11" s="14" customFormat="1" ht="11.1" customHeight="1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</row>
    <row r="31" spans="1:11" s="14" customFormat="1" ht="11.1" customHeight="1" x14ac:dyDescent="0.2">
      <c r="A31" s="7"/>
      <c r="B31" s="16"/>
      <c r="C31" s="16"/>
      <c r="D31" s="16"/>
      <c r="E31" s="16"/>
      <c r="F31" s="16"/>
      <c r="G31" s="16"/>
      <c r="H31" s="16"/>
      <c r="I31" s="16"/>
      <c r="J31" s="16"/>
    </row>
    <row r="32" spans="1:11" s="14" customFormat="1" ht="11.1" customHeight="1" x14ac:dyDescent="0.2">
      <c r="A32" s="7"/>
      <c r="B32" s="16"/>
      <c r="C32" s="16"/>
      <c r="D32" s="16"/>
      <c r="E32" s="16"/>
      <c r="F32" s="16"/>
      <c r="G32" s="16"/>
      <c r="H32" s="16"/>
      <c r="I32" s="16"/>
      <c r="J32" s="16"/>
    </row>
    <row r="33" spans="1:10" s="14" customFormat="1" ht="11.1" customHeight="1" x14ac:dyDescent="0.2">
      <c r="A33" s="7"/>
      <c r="B33" s="16"/>
      <c r="C33" s="16"/>
      <c r="D33" s="16"/>
      <c r="E33" s="16"/>
      <c r="F33" s="16"/>
      <c r="G33" s="16"/>
      <c r="H33" s="16"/>
      <c r="I33" s="16"/>
      <c r="J33" s="16"/>
    </row>
    <row r="34" spans="1:10" s="14" customFormat="1" ht="11.1" customHeight="1" x14ac:dyDescent="0.2">
      <c r="A34" s="7"/>
      <c r="B34" s="16"/>
      <c r="C34" s="16"/>
      <c r="D34" s="16"/>
      <c r="E34" s="16"/>
      <c r="F34" s="16"/>
      <c r="G34" s="16"/>
      <c r="H34" s="16"/>
      <c r="I34" s="16"/>
      <c r="J34" s="16"/>
    </row>
    <row r="35" spans="1:10" s="14" customFormat="1" ht="11.1" customHeight="1" x14ac:dyDescent="0.2">
      <c r="A35" s="7"/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4" customFormat="1" ht="11.1" customHeight="1" x14ac:dyDescent="0.2">
      <c r="A36" s="7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4" customFormat="1" ht="11.1" customHeight="1" x14ac:dyDescent="0.2">
      <c r="A37" s="7"/>
      <c r="B37" s="37"/>
      <c r="C37" s="16"/>
      <c r="D37" s="16"/>
      <c r="E37" s="16"/>
      <c r="F37" s="16"/>
      <c r="G37" s="16"/>
      <c r="H37" s="16"/>
      <c r="I37" s="16"/>
      <c r="J37" s="16"/>
    </row>
    <row r="38" spans="1:10" s="14" customFormat="1" ht="11.1" customHeight="1" x14ac:dyDescent="0.2">
      <c r="A38" s="7"/>
      <c r="B38" s="16"/>
      <c r="C38" s="16"/>
      <c r="D38" s="16"/>
      <c r="E38" s="16"/>
      <c r="F38" s="16"/>
      <c r="G38" s="16"/>
      <c r="H38" s="16"/>
      <c r="I38" s="16"/>
      <c r="J38" s="16"/>
    </row>
    <row r="39" spans="1:10" s="14" customFormat="1" ht="11.1" customHeight="1" x14ac:dyDescent="0.2">
      <c r="A39" s="7"/>
    </row>
    <row r="40" spans="1:10" s="14" customFormat="1" ht="11.1" customHeight="1" x14ac:dyDescent="0.2">
      <c r="A40" s="7"/>
      <c r="B40" s="17"/>
      <c r="C40" s="17"/>
      <c r="D40" s="17"/>
      <c r="E40" s="17"/>
      <c r="F40" s="17"/>
      <c r="G40" s="17"/>
      <c r="H40" s="17"/>
      <c r="I40" s="17"/>
      <c r="J40" s="17"/>
    </row>
    <row r="41" spans="1:10" s="14" customFormat="1" ht="11.1" customHeight="1" x14ac:dyDescent="0.2">
      <c r="A41" s="7"/>
      <c r="B41" s="16"/>
      <c r="C41" s="16"/>
      <c r="D41" s="16"/>
      <c r="E41" s="16"/>
      <c r="F41" s="16"/>
      <c r="G41" s="16"/>
      <c r="H41" s="16"/>
      <c r="I41" s="16"/>
      <c r="J41" s="16"/>
    </row>
    <row r="42" spans="1:10" s="14" customFormat="1" ht="11.1" customHeight="1" x14ac:dyDescent="0.2">
      <c r="A42" s="7"/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4" customFormat="1" ht="11.1" customHeight="1" x14ac:dyDescent="0.2">
      <c r="A43" s="7"/>
      <c r="B43" s="16"/>
      <c r="C43" s="16"/>
      <c r="D43" s="16"/>
      <c r="E43" s="16"/>
      <c r="F43" s="16"/>
      <c r="G43" s="16"/>
      <c r="H43" s="16"/>
      <c r="I43" s="16"/>
      <c r="J43" s="16"/>
    </row>
    <row r="44" spans="1:10" s="14" customFormat="1" ht="11.1" customHeight="1" x14ac:dyDescent="0.2">
      <c r="A44" s="7"/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4" customFormat="1" ht="11.1" customHeight="1" x14ac:dyDescent="0.2">
      <c r="A45" s="7"/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4" customFormat="1" ht="11.1" customHeight="1" x14ac:dyDescent="0.2">
      <c r="A46" s="7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4" customFormat="1" ht="11.1" customHeight="1" x14ac:dyDescent="0.2">
      <c r="A47" s="7"/>
      <c r="B47" s="16"/>
      <c r="C47" s="16"/>
      <c r="D47" s="16"/>
      <c r="E47" s="16"/>
      <c r="F47" s="16"/>
      <c r="G47" s="16"/>
      <c r="H47" s="16"/>
      <c r="I47" s="16"/>
      <c r="J47" s="16"/>
    </row>
    <row r="48" spans="1:10" s="14" customFormat="1" ht="11.1" customHeight="1" x14ac:dyDescent="0.2">
      <c r="A48" s="7"/>
      <c r="B48" s="16"/>
      <c r="C48" s="16"/>
      <c r="D48" s="16"/>
      <c r="E48" s="16"/>
      <c r="F48" s="16"/>
      <c r="G48" s="16"/>
      <c r="H48" s="16"/>
      <c r="I48" s="16"/>
      <c r="J48" s="16"/>
    </row>
    <row r="49" spans="1:10" s="14" customFormat="1" ht="11.1" customHeight="1" x14ac:dyDescent="0.2">
      <c r="A49" s="7"/>
      <c r="B49" s="16"/>
      <c r="C49" s="16"/>
      <c r="D49" s="16"/>
      <c r="E49" s="16"/>
      <c r="F49" s="16"/>
      <c r="G49" s="16"/>
      <c r="H49" s="16"/>
      <c r="I49" s="16"/>
      <c r="J49" s="16"/>
    </row>
    <row r="50" spans="1:10" s="14" customFormat="1" ht="11.1" customHeight="1" x14ac:dyDescent="0.2">
      <c r="A50" s="7"/>
      <c r="B50" s="16"/>
      <c r="C50" s="16"/>
      <c r="D50" s="16"/>
      <c r="E50" s="16"/>
      <c r="F50" s="16"/>
      <c r="G50" s="16"/>
      <c r="H50" s="16"/>
      <c r="I50" s="16"/>
      <c r="J50" s="16"/>
    </row>
    <row r="51" spans="1:10" s="14" customFormat="1" ht="11.1" customHeight="1" x14ac:dyDescent="0.2">
      <c r="A51" s="7"/>
    </row>
    <row r="52" spans="1:10" s="14" customFormat="1" ht="11.1" customHeight="1" x14ac:dyDescent="0.2">
      <c r="A52" s="7"/>
      <c r="B52" s="17"/>
      <c r="C52" s="17"/>
      <c r="D52" s="17"/>
      <c r="E52" s="17"/>
      <c r="F52" s="17"/>
      <c r="G52" s="17"/>
      <c r="H52" s="17"/>
      <c r="I52" s="17"/>
      <c r="J52" s="17"/>
    </row>
    <row r="53" spans="1:10" s="14" customFormat="1" ht="11.1" customHeight="1" x14ac:dyDescent="0.2">
      <c r="A53" s="7"/>
      <c r="B53" s="16"/>
      <c r="C53" s="16"/>
      <c r="D53" s="16"/>
      <c r="E53" s="16"/>
      <c r="F53" s="16"/>
      <c r="G53" s="16"/>
      <c r="H53" s="16"/>
      <c r="I53" s="16"/>
      <c r="J53" s="16"/>
    </row>
    <row r="54" spans="1:10" s="14" customFormat="1" ht="11.1" customHeight="1" x14ac:dyDescent="0.2">
      <c r="A54" s="7"/>
      <c r="B54" s="16"/>
      <c r="C54" s="16"/>
      <c r="D54" s="16"/>
      <c r="E54" s="16"/>
      <c r="F54" s="16"/>
      <c r="G54" s="16"/>
      <c r="H54" s="16"/>
      <c r="I54" s="16"/>
      <c r="J54" s="16"/>
    </row>
    <row r="55" spans="1:10" s="14" customFormat="1" ht="11.1" customHeight="1" x14ac:dyDescent="0.2">
      <c r="A55" s="7"/>
      <c r="B55" s="16"/>
      <c r="C55" s="16"/>
      <c r="D55" s="16"/>
      <c r="E55" s="16"/>
      <c r="F55" s="16"/>
      <c r="G55" s="16"/>
      <c r="H55" s="16"/>
      <c r="I55" s="16"/>
      <c r="J55" s="16"/>
    </row>
    <row r="56" spans="1:10" s="14" customFormat="1" ht="11.1" customHeight="1" x14ac:dyDescent="0.2">
      <c r="A56" s="7"/>
      <c r="B56" s="16"/>
      <c r="C56" s="16"/>
      <c r="D56" s="16"/>
      <c r="E56" s="16"/>
      <c r="F56" s="16"/>
      <c r="G56" s="16"/>
      <c r="H56" s="16"/>
      <c r="I56" s="16"/>
      <c r="J56" s="16"/>
    </row>
    <row r="57" spans="1:10" s="14" customFormat="1" ht="11.1" customHeight="1" x14ac:dyDescent="0.2">
      <c r="A57" s="7"/>
      <c r="B57" s="16"/>
      <c r="C57" s="16"/>
      <c r="D57" s="16"/>
      <c r="E57" s="16"/>
      <c r="F57" s="16"/>
      <c r="G57" s="16"/>
      <c r="H57" s="16"/>
      <c r="I57" s="16"/>
      <c r="J57" s="16"/>
    </row>
    <row r="58" spans="1:10" s="14" customFormat="1" ht="11.1" customHeight="1" x14ac:dyDescent="0.2">
      <c r="A58" s="7"/>
      <c r="B58" s="16"/>
      <c r="C58" s="16"/>
      <c r="D58" s="16"/>
      <c r="E58" s="16"/>
      <c r="F58" s="16"/>
      <c r="G58" s="16"/>
      <c r="H58" s="16"/>
      <c r="I58" s="16"/>
      <c r="J58" s="16"/>
    </row>
    <row r="59" spans="1:10" s="14" customFormat="1" ht="11.1" customHeight="1" x14ac:dyDescent="0.2">
      <c r="A59" s="7"/>
      <c r="B59" s="16"/>
      <c r="C59" s="16"/>
      <c r="D59" s="16"/>
      <c r="E59" s="16"/>
      <c r="F59" s="16"/>
      <c r="G59" s="16"/>
      <c r="H59" s="16"/>
      <c r="I59" s="16"/>
      <c r="J59" s="16"/>
    </row>
    <row r="60" spans="1:10" s="14" customFormat="1" ht="11.1" customHeight="1" x14ac:dyDescent="0.2">
      <c r="A60" s="7"/>
      <c r="B60" s="16"/>
      <c r="C60" s="16"/>
      <c r="D60" s="16"/>
      <c r="E60" s="16"/>
      <c r="F60" s="16"/>
      <c r="G60" s="16"/>
      <c r="H60" s="16"/>
      <c r="I60" s="16"/>
      <c r="J60" s="16"/>
    </row>
    <row r="61" spans="1:10" s="14" customFormat="1" ht="11.1" customHeight="1" x14ac:dyDescent="0.2">
      <c r="A61" s="7"/>
      <c r="B61" s="16"/>
      <c r="C61" s="16"/>
      <c r="D61" s="16"/>
      <c r="E61" s="16"/>
      <c r="F61" s="16"/>
      <c r="G61" s="16"/>
      <c r="H61" s="16"/>
      <c r="I61" s="16"/>
      <c r="J61" s="16"/>
    </row>
    <row r="62" spans="1:10" s="14" customFormat="1" ht="11.1" customHeight="1" x14ac:dyDescent="0.2">
      <c r="A62" s="7"/>
      <c r="B62" s="16"/>
      <c r="C62" s="16"/>
      <c r="D62" s="16"/>
      <c r="E62" s="16"/>
      <c r="F62" s="16"/>
      <c r="G62" s="16"/>
      <c r="H62" s="16"/>
      <c r="I62" s="16"/>
      <c r="J62" s="16"/>
    </row>
    <row r="63" spans="1:10" s="14" customFormat="1" ht="11.1" customHeight="1" x14ac:dyDescent="0.2">
      <c r="A63" s="7"/>
    </row>
    <row r="64" spans="1:10" s="14" customFormat="1" ht="11.1" customHeight="1" x14ac:dyDescent="0.2">
      <c r="A64" s="7"/>
      <c r="B64" s="17"/>
      <c r="C64" s="17"/>
      <c r="D64" s="17"/>
      <c r="E64" s="17"/>
      <c r="F64" s="17"/>
      <c r="G64" s="17"/>
      <c r="H64" s="17"/>
      <c r="I64" s="17"/>
      <c r="J64" s="17"/>
    </row>
    <row r="65" spans="1:10" s="14" customFormat="1" ht="11.1" customHeight="1" x14ac:dyDescent="0.2">
      <c r="A65" s="7"/>
      <c r="B65" s="16"/>
      <c r="C65" s="16"/>
      <c r="D65" s="16"/>
      <c r="E65" s="16"/>
      <c r="F65" s="16"/>
      <c r="G65" s="16"/>
      <c r="H65" s="16"/>
      <c r="I65" s="16"/>
      <c r="J65" s="16"/>
    </row>
    <row r="66" spans="1:10" s="14" customFormat="1" ht="11.1" customHeight="1" x14ac:dyDescent="0.2">
      <c r="A66" s="7"/>
      <c r="B66" s="16"/>
      <c r="C66" s="16"/>
      <c r="D66" s="16"/>
      <c r="E66" s="16"/>
      <c r="F66" s="16"/>
      <c r="G66" s="16"/>
      <c r="H66" s="16"/>
      <c r="I66" s="16"/>
      <c r="J66" s="16"/>
    </row>
    <row r="67" spans="1:10" s="14" customFormat="1" ht="11.1" customHeight="1" x14ac:dyDescent="0.2">
      <c r="A67" s="7"/>
      <c r="B67" s="16"/>
      <c r="C67" s="16"/>
      <c r="D67" s="16"/>
      <c r="E67" s="16"/>
      <c r="F67" s="16"/>
      <c r="G67" s="16"/>
      <c r="H67" s="16"/>
      <c r="I67" s="16"/>
      <c r="J67" s="16"/>
    </row>
    <row r="68" spans="1:10" s="14" customFormat="1" ht="11.1" customHeight="1" x14ac:dyDescent="0.2">
      <c r="A68" s="7"/>
      <c r="B68" s="16"/>
      <c r="C68" s="16"/>
      <c r="D68" s="16"/>
      <c r="E68" s="16"/>
      <c r="F68" s="16"/>
      <c r="G68" s="16"/>
      <c r="H68" s="16"/>
      <c r="I68" s="16"/>
      <c r="J68" s="16"/>
    </row>
    <row r="69" spans="1:10" s="14" customFormat="1" ht="11.1" customHeight="1" x14ac:dyDescent="0.2">
      <c r="A69" s="7"/>
      <c r="B69" s="16"/>
      <c r="C69" s="16"/>
      <c r="D69" s="16"/>
      <c r="E69" s="16"/>
      <c r="F69" s="16"/>
      <c r="G69" s="16"/>
      <c r="H69" s="16"/>
      <c r="I69" s="16"/>
      <c r="J69" s="16"/>
    </row>
    <row r="70" spans="1:10" s="14" customFormat="1" ht="11.1" customHeight="1" x14ac:dyDescent="0.2">
      <c r="A70" s="7"/>
      <c r="B70" s="16"/>
      <c r="C70" s="16"/>
      <c r="D70" s="16"/>
      <c r="E70" s="16"/>
      <c r="F70" s="16"/>
      <c r="G70" s="16"/>
      <c r="H70" s="16"/>
      <c r="I70" s="16"/>
      <c r="J70" s="16"/>
    </row>
    <row r="71" spans="1:10" s="14" customFormat="1" ht="11.1" customHeight="1" x14ac:dyDescent="0.2">
      <c r="A71" s="7"/>
      <c r="B71" s="16"/>
      <c r="C71" s="16"/>
      <c r="D71" s="16"/>
      <c r="E71" s="16"/>
      <c r="F71" s="16"/>
      <c r="G71" s="16"/>
      <c r="H71" s="16"/>
      <c r="I71" s="16"/>
      <c r="J71" s="16"/>
    </row>
    <row r="72" spans="1:10" s="14" customFormat="1" ht="11.1" customHeight="1" x14ac:dyDescent="0.2">
      <c r="A72" s="7"/>
      <c r="B72" s="16"/>
      <c r="C72" s="16"/>
      <c r="D72" s="16"/>
      <c r="E72" s="16"/>
      <c r="F72" s="16"/>
      <c r="G72" s="16"/>
      <c r="H72" s="16"/>
      <c r="I72" s="16"/>
      <c r="J72" s="16"/>
    </row>
    <row r="73" spans="1:10" s="14" customFormat="1" ht="11.1" customHeight="1" x14ac:dyDescent="0.2">
      <c r="A73" s="7"/>
      <c r="B73" s="16"/>
      <c r="C73" s="16"/>
      <c r="D73" s="16"/>
      <c r="E73" s="16"/>
      <c r="F73" s="16"/>
      <c r="G73" s="16"/>
      <c r="H73" s="16"/>
      <c r="I73" s="16"/>
      <c r="J73" s="16"/>
    </row>
    <row r="74" spans="1:10" s="14" customFormat="1" ht="11.1" customHeight="1" x14ac:dyDescent="0.2">
      <c r="A74" s="7"/>
      <c r="B74" s="16"/>
      <c r="C74" s="16"/>
      <c r="D74" s="16"/>
      <c r="E74" s="16"/>
      <c r="F74" s="16"/>
      <c r="G74" s="16"/>
      <c r="H74" s="16"/>
      <c r="I74" s="16"/>
      <c r="J74" s="16"/>
    </row>
    <row r="75" spans="1:10" s="14" customFormat="1" ht="11.1" customHeight="1" x14ac:dyDescent="0.2">
      <c r="A75" s="7"/>
    </row>
    <row r="76" spans="1:10" s="14" customFormat="1" ht="11.1" customHeight="1" x14ac:dyDescent="0.2">
      <c r="A76" s="7"/>
      <c r="B76" s="17"/>
      <c r="C76" s="17"/>
      <c r="D76" s="17"/>
      <c r="E76" s="17"/>
      <c r="F76" s="17"/>
      <c r="G76" s="17"/>
      <c r="H76" s="17"/>
      <c r="I76" s="17"/>
      <c r="J76" s="17"/>
    </row>
    <row r="77" spans="1:10" s="14" customFormat="1" ht="11.1" customHeight="1" x14ac:dyDescent="0.2">
      <c r="A77" s="7"/>
      <c r="B77" s="16"/>
      <c r="C77" s="16"/>
      <c r="D77" s="16"/>
      <c r="E77" s="16"/>
      <c r="F77" s="16"/>
      <c r="G77" s="16"/>
      <c r="H77" s="16"/>
      <c r="I77" s="16"/>
      <c r="J77" s="16"/>
    </row>
    <row r="78" spans="1:10" s="14" customFormat="1" ht="11.1" customHeight="1" x14ac:dyDescent="0.2">
      <c r="A78" s="7"/>
      <c r="B78" s="16"/>
      <c r="C78" s="16"/>
      <c r="D78" s="16"/>
      <c r="E78" s="16"/>
      <c r="F78" s="16"/>
      <c r="G78" s="16"/>
      <c r="H78" s="16"/>
      <c r="I78" s="16"/>
      <c r="J78" s="16"/>
    </row>
    <row r="79" spans="1:10" s="14" customFormat="1" ht="11.1" customHeight="1" x14ac:dyDescent="0.2">
      <c r="A79" s="7"/>
      <c r="B79" s="16"/>
      <c r="C79" s="16"/>
      <c r="D79" s="16"/>
      <c r="E79" s="16"/>
      <c r="F79" s="16"/>
      <c r="G79" s="16"/>
      <c r="H79" s="16"/>
      <c r="I79" s="16"/>
      <c r="J79" s="16"/>
    </row>
    <row r="80" spans="1:10" s="14" customFormat="1" ht="11.1" customHeight="1" x14ac:dyDescent="0.2">
      <c r="A80" s="7"/>
      <c r="B80" s="16"/>
      <c r="C80" s="16"/>
      <c r="D80" s="16"/>
      <c r="E80" s="16"/>
      <c r="F80" s="16"/>
      <c r="G80" s="16"/>
      <c r="H80" s="16"/>
      <c r="I80" s="16"/>
      <c r="J80" s="16"/>
    </row>
    <row r="81" spans="1:10" s="14" customFormat="1" ht="11.1" customHeight="1" x14ac:dyDescent="0.2">
      <c r="A81" s="7"/>
      <c r="B81" s="16"/>
      <c r="C81" s="16"/>
      <c r="D81" s="16"/>
      <c r="E81" s="16"/>
      <c r="F81" s="16"/>
      <c r="G81" s="16"/>
      <c r="H81" s="16"/>
      <c r="I81" s="16"/>
      <c r="J81" s="16"/>
    </row>
    <row r="82" spans="1:10" s="14" customFormat="1" ht="11.1" customHeight="1" x14ac:dyDescent="0.2">
      <c r="A82" s="7"/>
      <c r="B82" s="16"/>
      <c r="C82" s="16"/>
      <c r="D82" s="16"/>
      <c r="E82" s="16"/>
      <c r="F82" s="16"/>
      <c r="G82" s="16"/>
      <c r="H82" s="16"/>
      <c r="I82" s="16"/>
      <c r="J82" s="16"/>
    </row>
    <row r="83" spans="1:10" s="14" customFormat="1" ht="11.1" customHeight="1" x14ac:dyDescent="0.2">
      <c r="A83" s="7"/>
      <c r="B83" s="16"/>
      <c r="C83" s="16"/>
      <c r="D83" s="16"/>
      <c r="E83" s="16"/>
      <c r="F83" s="16"/>
      <c r="G83" s="16"/>
      <c r="H83" s="16"/>
      <c r="I83" s="16"/>
      <c r="J83" s="16"/>
    </row>
    <row r="84" spans="1:10" s="14" customFormat="1" ht="11.1" customHeight="1" x14ac:dyDescent="0.2">
      <c r="A84" s="7"/>
      <c r="B84" s="16"/>
      <c r="C84" s="16"/>
      <c r="D84" s="16"/>
      <c r="E84" s="16"/>
      <c r="F84" s="16"/>
      <c r="G84" s="16"/>
      <c r="H84" s="16"/>
      <c r="I84" s="16"/>
      <c r="J84" s="16"/>
    </row>
    <row r="85" spans="1:10" s="14" customFormat="1" ht="11.1" customHeight="1" x14ac:dyDescent="0.2">
      <c r="A85" s="7"/>
      <c r="B85" s="16"/>
      <c r="C85" s="16"/>
      <c r="D85" s="16"/>
      <c r="E85" s="16"/>
      <c r="F85" s="16"/>
      <c r="G85" s="16"/>
      <c r="H85" s="16"/>
      <c r="I85" s="16"/>
      <c r="J85" s="16"/>
    </row>
    <row r="86" spans="1:10" s="14" customFormat="1" ht="11.1" customHeight="1" x14ac:dyDescent="0.2">
      <c r="A86" s="7"/>
      <c r="B86" s="16"/>
      <c r="C86" s="16"/>
      <c r="D86" s="16"/>
      <c r="E86" s="16"/>
      <c r="F86" s="16"/>
      <c r="G86" s="16"/>
      <c r="H86" s="16"/>
      <c r="I86" s="16"/>
      <c r="J86" s="16"/>
    </row>
    <row r="87" spans="1:10" s="14" customFormat="1" ht="11.1" customHeight="1" x14ac:dyDescent="0.2">
      <c r="A87" s="7"/>
    </row>
    <row r="88" spans="1:10" s="14" customFormat="1" ht="11.1" customHeight="1" x14ac:dyDescent="0.2">
      <c r="A88" s="7"/>
      <c r="B88" s="17"/>
      <c r="C88" s="17"/>
      <c r="D88" s="17"/>
      <c r="E88" s="17"/>
      <c r="F88" s="17"/>
      <c r="G88" s="17"/>
      <c r="H88" s="17"/>
      <c r="I88" s="17"/>
      <c r="J88" s="17"/>
    </row>
    <row r="89" spans="1:10" s="14" customFormat="1" ht="11.1" customHeight="1" x14ac:dyDescent="0.2">
      <c r="A89" s="7"/>
      <c r="B89" s="16"/>
      <c r="C89" s="16"/>
      <c r="D89" s="16"/>
      <c r="E89" s="16"/>
      <c r="F89" s="16"/>
      <c r="G89" s="16"/>
      <c r="H89" s="16"/>
      <c r="I89" s="16"/>
      <c r="J89" s="16"/>
    </row>
    <row r="90" spans="1:10" s="14" customFormat="1" ht="11.1" customHeight="1" x14ac:dyDescent="0.2">
      <c r="A90" s="7"/>
      <c r="B90" s="16"/>
      <c r="C90" s="16"/>
      <c r="D90" s="16"/>
      <c r="E90" s="16"/>
      <c r="F90" s="16"/>
      <c r="G90" s="16"/>
      <c r="H90" s="16"/>
      <c r="I90" s="16"/>
      <c r="J90" s="16"/>
    </row>
    <row r="91" spans="1:10" s="14" customFormat="1" ht="11.1" customHeight="1" x14ac:dyDescent="0.2">
      <c r="A91" s="7"/>
      <c r="B91" s="16"/>
      <c r="C91" s="16"/>
      <c r="D91" s="16"/>
      <c r="E91" s="16"/>
      <c r="F91" s="16"/>
      <c r="G91" s="16"/>
      <c r="H91" s="16"/>
      <c r="I91" s="16"/>
      <c r="J91" s="16"/>
    </row>
    <row r="92" spans="1:10" s="14" customFormat="1" ht="11.1" customHeight="1" x14ac:dyDescent="0.2">
      <c r="A92" s="7"/>
      <c r="B92" s="16"/>
      <c r="C92" s="16"/>
      <c r="D92" s="16"/>
      <c r="E92" s="16"/>
      <c r="F92" s="16"/>
      <c r="G92" s="16"/>
      <c r="H92" s="16"/>
      <c r="I92" s="16"/>
      <c r="J92" s="16"/>
    </row>
    <row r="93" spans="1:10" s="14" customFormat="1" ht="11.1" customHeight="1" x14ac:dyDescent="0.2">
      <c r="A93" s="7"/>
      <c r="B93" s="16"/>
      <c r="C93" s="16"/>
      <c r="D93" s="16"/>
      <c r="E93" s="16"/>
      <c r="F93" s="16"/>
      <c r="G93" s="16"/>
      <c r="H93" s="16"/>
      <c r="I93" s="16"/>
      <c r="J93" s="16"/>
    </row>
    <row r="94" spans="1:10" s="14" customFormat="1" ht="11.1" customHeight="1" x14ac:dyDescent="0.2">
      <c r="A94" s="7"/>
      <c r="B94" s="16"/>
      <c r="C94" s="16"/>
      <c r="D94" s="16"/>
      <c r="E94" s="16"/>
      <c r="F94" s="16"/>
      <c r="G94" s="16"/>
      <c r="H94" s="16"/>
      <c r="I94" s="16"/>
      <c r="J94" s="16"/>
    </row>
    <row r="95" spans="1:10" s="14" customFormat="1" ht="11.1" customHeight="1" x14ac:dyDescent="0.2">
      <c r="A95" s="7"/>
      <c r="B95" s="16"/>
      <c r="C95" s="16"/>
      <c r="D95" s="16"/>
      <c r="E95" s="16"/>
      <c r="F95" s="16"/>
      <c r="G95" s="16"/>
      <c r="H95" s="16"/>
      <c r="I95" s="16"/>
      <c r="J95" s="16"/>
    </row>
    <row r="96" spans="1:10" s="14" customFormat="1" ht="11.1" customHeight="1" x14ac:dyDescent="0.2">
      <c r="A96" s="7"/>
      <c r="B96" s="16"/>
      <c r="C96" s="16"/>
      <c r="D96" s="16"/>
      <c r="E96" s="16"/>
      <c r="F96" s="16"/>
      <c r="G96" s="16"/>
      <c r="H96" s="16"/>
      <c r="I96" s="16"/>
      <c r="J96" s="16"/>
    </row>
    <row r="97" spans="1:10" s="14" customFormat="1" ht="11.1" customHeight="1" x14ac:dyDescent="0.2">
      <c r="A97" s="7"/>
      <c r="B97" s="16"/>
      <c r="C97" s="16"/>
      <c r="D97" s="16"/>
      <c r="E97" s="16"/>
      <c r="F97" s="16"/>
      <c r="G97" s="16"/>
      <c r="H97" s="16"/>
      <c r="I97" s="16"/>
      <c r="J97" s="16"/>
    </row>
    <row r="98" spans="1:10" s="14" customFormat="1" ht="11.1" customHeight="1" x14ac:dyDescent="0.2">
      <c r="A98" s="7"/>
      <c r="B98" s="16"/>
      <c r="C98" s="16"/>
      <c r="D98" s="16"/>
      <c r="E98" s="16"/>
      <c r="F98" s="16"/>
      <c r="G98" s="16"/>
      <c r="H98" s="16"/>
      <c r="I98" s="16"/>
      <c r="J98" s="16"/>
    </row>
    <row r="99" spans="1:10" s="14" customFormat="1" ht="11.1" customHeight="1" x14ac:dyDescent="0.2">
      <c r="A99" s="7"/>
    </row>
    <row r="100" spans="1:10" s="14" customFormat="1" ht="11.1" customHeight="1" x14ac:dyDescent="0.2">
      <c r="A100" s="5"/>
      <c r="B100" s="18"/>
      <c r="C100" s="18"/>
      <c r="D100" s="18"/>
      <c r="E100" s="18"/>
      <c r="F100" s="18"/>
      <c r="G100" s="18"/>
      <c r="H100" s="18"/>
      <c r="I100" s="18"/>
      <c r="J100" s="18"/>
    </row>
    <row r="101" spans="1:10" s="14" customFormat="1" ht="11.1" customHeight="1" x14ac:dyDescent="0.2">
      <c r="A101" s="5"/>
      <c r="B101" s="18"/>
      <c r="C101" s="18"/>
      <c r="D101" s="18"/>
      <c r="E101" s="18"/>
      <c r="F101" s="18"/>
      <c r="G101" s="18"/>
      <c r="H101" s="18"/>
      <c r="I101" s="18"/>
      <c r="J101" s="18"/>
    </row>
    <row r="102" spans="1:10" s="14" customFormat="1" ht="11.1" customHeight="1" x14ac:dyDescent="0.2">
      <c r="A102" s="7"/>
    </row>
    <row r="103" spans="1:10" s="14" customFormat="1" ht="11.1" customHeight="1" x14ac:dyDescent="0.2">
      <c r="A103" s="7"/>
    </row>
    <row r="104" spans="1:10" s="14" customFormat="1" ht="11.1" customHeight="1" x14ac:dyDescent="0.2">
      <c r="A104" s="7"/>
    </row>
    <row r="105" spans="1:10" s="14" customFormat="1" ht="11.1" customHeight="1" x14ac:dyDescent="0.2">
      <c r="A105" s="7"/>
    </row>
    <row r="106" spans="1:10" s="14" customFormat="1" ht="11.1" customHeight="1" x14ac:dyDescent="0.2">
      <c r="A106" s="7"/>
    </row>
    <row r="107" spans="1:10" s="14" customFormat="1" ht="11.1" customHeight="1" x14ac:dyDescent="0.2">
      <c r="A107" s="7"/>
    </row>
    <row r="108" spans="1:10" s="14" customFormat="1" ht="11.1" customHeight="1" x14ac:dyDescent="0.2">
      <c r="A108" s="7"/>
    </row>
    <row r="109" spans="1:10" s="14" customFormat="1" ht="11.1" customHeight="1" x14ac:dyDescent="0.2">
      <c r="A109" s="7"/>
    </row>
    <row r="110" spans="1:10" s="14" customFormat="1" ht="11.1" customHeight="1" x14ac:dyDescent="0.2">
      <c r="A110" s="7"/>
    </row>
    <row r="111" spans="1:10" s="14" customFormat="1" ht="11.1" customHeight="1" x14ac:dyDescent="0.2">
      <c r="A111" s="7"/>
    </row>
    <row r="112" spans="1:10" s="14" customFormat="1" ht="11.1" customHeight="1" x14ac:dyDescent="0.2">
      <c r="A112" s="7"/>
    </row>
    <row r="113" spans="1:1" s="14" customFormat="1" ht="11.1" customHeight="1" x14ac:dyDescent="0.2">
      <c r="A113" s="7"/>
    </row>
    <row r="114" spans="1:1" s="14" customFormat="1" ht="11.1" customHeight="1" x14ac:dyDescent="0.2">
      <c r="A114" s="7"/>
    </row>
    <row r="115" spans="1:1" s="14" customFormat="1" ht="11.1" customHeight="1" x14ac:dyDescent="0.2">
      <c r="A115" s="7"/>
    </row>
    <row r="116" spans="1:1" s="14" customFormat="1" ht="11.1" customHeight="1" x14ac:dyDescent="0.2">
      <c r="A116" s="7"/>
    </row>
    <row r="117" spans="1:1" s="14" customFormat="1" ht="11.1" customHeight="1" x14ac:dyDescent="0.2">
      <c r="A117" s="7"/>
    </row>
    <row r="118" spans="1:1" s="14" customFormat="1" ht="11.1" customHeight="1" x14ac:dyDescent="0.2">
      <c r="A118" s="7"/>
    </row>
    <row r="119" spans="1:1" s="14" customFormat="1" ht="11.1" customHeight="1" x14ac:dyDescent="0.2">
      <c r="A119" s="7"/>
    </row>
    <row r="120" spans="1:1" s="14" customFormat="1" ht="11.1" customHeight="1" x14ac:dyDescent="0.2">
      <c r="A120" s="7"/>
    </row>
    <row r="121" spans="1:1" s="14" customFormat="1" ht="11.1" customHeight="1" x14ac:dyDescent="0.2">
      <c r="A121" s="7"/>
    </row>
    <row r="122" spans="1:1" s="14" customFormat="1" ht="11.1" customHeight="1" x14ac:dyDescent="0.2">
      <c r="A122" s="7"/>
    </row>
    <row r="123" spans="1:1" s="14" customFormat="1" ht="11.1" customHeight="1" x14ac:dyDescent="0.2">
      <c r="A123" s="7"/>
    </row>
    <row r="124" spans="1:1" s="14" customFormat="1" ht="11.1" customHeight="1" x14ac:dyDescent="0.2">
      <c r="A124" s="7"/>
    </row>
    <row r="125" spans="1:1" s="14" customFormat="1" ht="11.1" customHeight="1" x14ac:dyDescent="0.2">
      <c r="A125" s="7"/>
    </row>
    <row r="126" spans="1:1" s="14" customFormat="1" ht="11.1" customHeight="1" x14ac:dyDescent="0.2">
      <c r="A126" s="7"/>
    </row>
    <row r="127" spans="1:1" s="14" customFormat="1" ht="11.1" customHeight="1" x14ac:dyDescent="0.2">
      <c r="A127" s="7"/>
    </row>
    <row r="128" spans="1:1" s="14" customFormat="1" ht="11.1" customHeight="1" x14ac:dyDescent="0.2">
      <c r="A128" s="7"/>
    </row>
    <row r="129" spans="1:1" s="14" customFormat="1" ht="11.1" customHeight="1" x14ac:dyDescent="0.2">
      <c r="A129" s="7"/>
    </row>
    <row r="130" spans="1:1" s="14" customFormat="1" ht="11.1" customHeight="1" x14ac:dyDescent="0.2">
      <c r="A130" s="7"/>
    </row>
    <row r="131" spans="1:1" s="14" customFormat="1" ht="11.1" customHeight="1" x14ac:dyDescent="0.2">
      <c r="A131" s="7"/>
    </row>
    <row r="132" spans="1:1" s="14" customFormat="1" ht="11.1" customHeight="1" x14ac:dyDescent="0.2">
      <c r="A132" s="7"/>
    </row>
    <row r="133" spans="1:1" s="14" customFormat="1" ht="11.1" customHeight="1" x14ac:dyDescent="0.2">
      <c r="A133" s="7"/>
    </row>
    <row r="134" spans="1:1" s="14" customFormat="1" ht="11.1" customHeight="1" x14ac:dyDescent="0.2">
      <c r="A134" s="7"/>
    </row>
    <row r="135" spans="1:1" s="14" customFormat="1" ht="11.1" customHeight="1" x14ac:dyDescent="0.2">
      <c r="A135" s="7"/>
    </row>
    <row r="136" spans="1:1" s="14" customFormat="1" ht="11.1" customHeight="1" x14ac:dyDescent="0.2">
      <c r="A136" s="7"/>
    </row>
    <row r="137" spans="1:1" s="14" customFormat="1" ht="11.1" customHeight="1" x14ac:dyDescent="0.2">
      <c r="A137" s="7"/>
    </row>
    <row r="138" spans="1:1" s="14" customFormat="1" ht="11.1" customHeight="1" x14ac:dyDescent="0.2">
      <c r="A138" s="7"/>
    </row>
    <row r="139" spans="1:1" s="14" customFormat="1" ht="11.1" customHeight="1" x14ac:dyDescent="0.2">
      <c r="A139" s="7"/>
    </row>
    <row r="140" spans="1:1" s="14" customFormat="1" ht="11.1" customHeight="1" x14ac:dyDescent="0.2">
      <c r="A140" s="7"/>
    </row>
    <row r="141" spans="1:1" s="14" customFormat="1" ht="11.1" customHeight="1" x14ac:dyDescent="0.2">
      <c r="A141" s="7"/>
    </row>
    <row r="142" spans="1:1" s="14" customFormat="1" ht="11.1" customHeight="1" x14ac:dyDescent="0.2">
      <c r="A142" s="7"/>
    </row>
    <row r="143" spans="1:1" s="14" customFormat="1" ht="11.1" customHeight="1" x14ac:dyDescent="0.2">
      <c r="A143" s="7"/>
    </row>
    <row r="144" spans="1:1" s="14" customFormat="1" ht="11.1" customHeight="1" x14ac:dyDescent="0.2">
      <c r="A144" s="7"/>
    </row>
    <row r="145" spans="1:1" s="14" customFormat="1" ht="11.1" customHeight="1" x14ac:dyDescent="0.2">
      <c r="A145" s="7"/>
    </row>
    <row r="146" spans="1:1" s="14" customFormat="1" ht="11.1" customHeight="1" x14ac:dyDescent="0.2">
      <c r="A146" s="7"/>
    </row>
    <row r="147" spans="1:1" s="14" customFormat="1" ht="11.1" customHeight="1" x14ac:dyDescent="0.2">
      <c r="A147" s="7"/>
    </row>
    <row r="148" spans="1:1" s="14" customFormat="1" ht="11.1" customHeight="1" x14ac:dyDescent="0.2">
      <c r="A148" s="7"/>
    </row>
    <row r="149" spans="1:1" s="14" customFormat="1" ht="11.1" customHeight="1" x14ac:dyDescent="0.2">
      <c r="A149" s="7"/>
    </row>
    <row r="150" spans="1:1" s="14" customFormat="1" ht="11.1" customHeight="1" x14ac:dyDescent="0.2">
      <c r="A150" s="7"/>
    </row>
    <row r="151" spans="1:1" s="14" customFormat="1" ht="11.1" customHeight="1" x14ac:dyDescent="0.2">
      <c r="A151" s="7"/>
    </row>
    <row r="152" spans="1:1" s="14" customFormat="1" ht="11.1" customHeight="1" x14ac:dyDescent="0.2">
      <c r="A152" s="7"/>
    </row>
    <row r="153" spans="1:1" s="14" customFormat="1" ht="11.1" customHeight="1" x14ac:dyDescent="0.2">
      <c r="A153" s="7"/>
    </row>
    <row r="154" spans="1:1" s="14" customFormat="1" ht="11.1" customHeight="1" x14ac:dyDescent="0.2">
      <c r="A154" s="7"/>
    </row>
    <row r="155" spans="1:1" s="14" customFormat="1" ht="11.1" customHeight="1" x14ac:dyDescent="0.2">
      <c r="A155" s="7"/>
    </row>
    <row r="156" spans="1:1" s="14" customFormat="1" ht="11.1" customHeight="1" x14ac:dyDescent="0.2">
      <c r="A156" s="7"/>
    </row>
    <row r="157" spans="1:1" s="14" customFormat="1" ht="11.1" customHeight="1" x14ac:dyDescent="0.2">
      <c r="A157" s="7"/>
    </row>
    <row r="158" spans="1:1" s="14" customFormat="1" ht="11.1" customHeight="1" x14ac:dyDescent="0.2">
      <c r="A158" s="7"/>
    </row>
    <row r="159" spans="1:1" s="14" customFormat="1" ht="11.1" customHeight="1" x14ac:dyDescent="0.2">
      <c r="A159" s="7"/>
    </row>
    <row r="160" spans="1:1" s="14" customFormat="1" ht="11.1" customHeight="1" x14ac:dyDescent="0.2">
      <c r="A160" s="7"/>
    </row>
    <row r="161" spans="1:1" s="14" customFormat="1" ht="11.1" customHeight="1" x14ac:dyDescent="0.2">
      <c r="A161" s="7"/>
    </row>
    <row r="162" spans="1:1" s="14" customFormat="1" ht="11.1" customHeight="1" x14ac:dyDescent="0.2">
      <c r="A162" s="7"/>
    </row>
    <row r="163" spans="1:1" s="14" customFormat="1" ht="11.1" customHeight="1" x14ac:dyDescent="0.2">
      <c r="A163" s="7"/>
    </row>
    <row r="164" spans="1:1" s="14" customFormat="1" ht="11.1" customHeight="1" x14ac:dyDescent="0.2">
      <c r="A164" s="7"/>
    </row>
    <row r="165" spans="1:1" s="14" customFormat="1" ht="11.1" customHeight="1" x14ac:dyDescent="0.2">
      <c r="A165" s="7"/>
    </row>
    <row r="166" spans="1:1" s="14" customFormat="1" ht="11.1" customHeight="1" x14ac:dyDescent="0.2">
      <c r="A166" s="7"/>
    </row>
    <row r="167" spans="1:1" s="14" customFormat="1" ht="11.1" customHeight="1" x14ac:dyDescent="0.2">
      <c r="A167" s="7"/>
    </row>
    <row r="168" spans="1:1" s="14" customFormat="1" ht="11.1" customHeight="1" x14ac:dyDescent="0.2">
      <c r="A168" s="7"/>
    </row>
    <row r="169" spans="1:1" s="14" customFormat="1" ht="11.1" customHeight="1" x14ac:dyDescent="0.2">
      <c r="A169" s="7"/>
    </row>
    <row r="170" spans="1:1" s="14" customFormat="1" ht="11.1" customHeight="1" x14ac:dyDescent="0.2">
      <c r="A170" s="7"/>
    </row>
    <row r="171" spans="1:1" s="14" customFormat="1" ht="11.1" customHeight="1" x14ac:dyDescent="0.2">
      <c r="A171" s="7"/>
    </row>
    <row r="172" spans="1:1" s="14" customFormat="1" ht="11.1" customHeight="1" x14ac:dyDescent="0.2">
      <c r="A172" s="7"/>
    </row>
    <row r="173" spans="1:1" s="14" customFormat="1" ht="11.1" customHeight="1" x14ac:dyDescent="0.2">
      <c r="A173" s="7"/>
    </row>
    <row r="174" spans="1:1" s="14" customFormat="1" ht="11.1" customHeight="1" x14ac:dyDescent="0.2">
      <c r="A174" s="7"/>
    </row>
    <row r="175" spans="1:1" s="14" customFormat="1" ht="11.1" customHeight="1" x14ac:dyDescent="0.2">
      <c r="A175" s="7"/>
    </row>
    <row r="176" spans="1:1" s="14" customFormat="1" ht="11.1" customHeight="1" x14ac:dyDescent="0.2">
      <c r="A176" s="7"/>
    </row>
    <row r="177" spans="1:1" s="14" customFormat="1" ht="11.1" customHeight="1" x14ac:dyDescent="0.2">
      <c r="A177" s="7"/>
    </row>
    <row r="178" spans="1:1" s="14" customFormat="1" ht="11.1" customHeight="1" x14ac:dyDescent="0.2">
      <c r="A178" s="7"/>
    </row>
    <row r="179" spans="1:1" s="14" customFormat="1" ht="11.1" customHeight="1" x14ac:dyDescent="0.2">
      <c r="A179" s="7"/>
    </row>
    <row r="180" spans="1:1" s="14" customFormat="1" ht="11.1" customHeight="1" x14ac:dyDescent="0.2">
      <c r="A180" s="7"/>
    </row>
    <row r="181" spans="1:1" s="14" customFormat="1" ht="11.1" customHeight="1" x14ac:dyDescent="0.2">
      <c r="A181" s="7"/>
    </row>
    <row r="182" spans="1:1" s="14" customFormat="1" ht="11.1" customHeight="1" x14ac:dyDescent="0.2">
      <c r="A182" s="7"/>
    </row>
    <row r="183" spans="1:1" s="14" customFormat="1" ht="11.1" customHeight="1" x14ac:dyDescent="0.2">
      <c r="A183" s="7"/>
    </row>
    <row r="184" spans="1:1" s="14" customFormat="1" ht="11.1" customHeight="1" x14ac:dyDescent="0.2">
      <c r="A184" s="7"/>
    </row>
    <row r="185" spans="1:1" s="14" customFormat="1" ht="11.1" customHeight="1" x14ac:dyDescent="0.2">
      <c r="A185" s="7"/>
    </row>
    <row r="186" spans="1:1" s="14" customFormat="1" ht="11.1" customHeight="1" x14ac:dyDescent="0.2">
      <c r="A186" s="7"/>
    </row>
    <row r="187" spans="1:1" s="14" customFormat="1" ht="11.1" customHeight="1" x14ac:dyDescent="0.2">
      <c r="A187" s="7"/>
    </row>
    <row r="188" spans="1:1" s="14" customFormat="1" ht="11.1" customHeight="1" x14ac:dyDescent="0.2">
      <c r="A188" s="7"/>
    </row>
    <row r="189" spans="1:1" s="14" customFormat="1" ht="11.1" customHeight="1" x14ac:dyDescent="0.2">
      <c r="A189" s="7"/>
    </row>
    <row r="190" spans="1:1" s="14" customFormat="1" ht="11.1" customHeight="1" x14ac:dyDescent="0.2">
      <c r="A190" s="7"/>
    </row>
    <row r="191" spans="1:1" s="14" customFormat="1" ht="11.1" customHeight="1" x14ac:dyDescent="0.2">
      <c r="A191" s="7"/>
    </row>
    <row r="192" spans="1:1" s="14" customFormat="1" ht="11.1" customHeight="1" x14ac:dyDescent="0.2">
      <c r="A192" s="7"/>
    </row>
    <row r="193" spans="1:1" s="14" customFormat="1" ht="11.1" customHeight="1" x14ac:dyDescent="0.2">
      <c r="A193" s="7"/>
    </row>
    <row r="194" spans="1:1" s="14" customFormat="1" ht="11.1" customHeight="1" x14ac:dyDescent="0.2">
      <c r="A194" s="7"/>
    </row>
    <row r="195" spans="1:1" s="14" customFormat="1" ht="11.1" customHeight="1" x14ac:dyDescent="0.2">
      <c r="A195" s="7"/>
    </row>
    <row r="196" spans="1:1" s="14" customFormat="1" ht="11.1" customHeight="1" x14ac:dyDescent="0.2">
      <c r="A196" s="7"/>
    </row>
    <row r="197" spans="1:1" s="14" customFormat="1" ht="11.1" customHeight="1" x14ac:dyDescent="0.2">
      <c r="A197" s="7"/>
    </row>
    <row r="198" spans="1:1" s="14" customFormat="1" ht="11.1" customHeight="1" x14ac:dyDescent="0.2">
      <c r="A198" s="7"/>
    </row>
    <row r="199" spans="1:1" s="14" customFormat="1" ht="11.1" customHeight="1" x14ac:dyDescent="0.2">
      <c r="A199" s="7"/>
    </row>
    <row r="200" spans="1:1" s="14" customFormat="1" ht="11.1" customHeight="1" x14ac:dyDescent="0.2">
      <c r="A200" s="7"/>
    </row>
    <row r="201" spans="1:1" s="14" customFormat="1" ht="11.1" customHeight="1" x14ac:dyDescent="0.2">
      <c r="A201" s="7"/>
    </row>
    <row r="202" spans="1:1" s="14" customFormat="1" ht="11.1" customHeight="1" x14ac:dyDescent="0.2">
      <c r="A202" s="7"/>
    </row>
    <row r="203" spans="1:1" s="14" customFormat="1" ht="11.1" customHeight="1" x14ac:dyDescent="0.2">
      <c r="A203" s="7"/>
    </row>
    <row r="204" spans="1:1" s="14" customFormat="1" ht="11.1" customHeight="1" x14ac:dyDescent="0.2">
      <c r="A204" s="7"/>
    </row>
    <row r="205" spans="1:1" s="14" customFormat="1" ht="11.1" customHeight="1" x14ac:dyDescent="0.2">
      <c r="A205" s="7"/>
    </row>
    <row r="206" spans="1:1" s="14" customFormat="1" ht="11.1" customHeight="1" x14ac:dyDescent="0.2">
      <c r="A206" s="7"/>
    </row>
    <row r="207" spans="1:1" s="14" customFormat="1" ht="11.1" customHeight="1" x14ac:dyDescent="0.2">
      <c r="A207" s="7"/>
    </row>
    <row r="208" spans="1:1" s="14" customFormat="1" ht="11.1" customHeight="1" x14ac:dyDescent="0.2">
      <c r="A208" s="7"/>
    </row>
  </sheetData>
  <mergeCells count="1">
    <mergeCell ref="A1:K1"/>
  </mergeCells>
  <phoneticPr fontId="2" type="noConversion"/>
  <printOptions horizontalCentered="1"/>
  <pageMargins left="0.5" right="0.5" top="0.5" bottom="0.5" header="0.5" footer="0.5"/>
  <pageSetup firstPageNumber="41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99"/>
  <sheetViews>
    <sheetView zoomScale="125" zoomScaleNormal="125" zoomScaleSheetLayoutView="145" workbookViewId="0">
      <pane ySplit="3" topLeftCell="A4" activePane="bottomLeft" state="frozen"/>
      <selection pane="bottomLeft" sqref="A1:G1"/>
    </sheetView>
  </sheetViews>
  <sheetFormatPr defaultColWidth="15.28515625" defaultRowHeight="11.25" x14ac:dyDescent="0.2"/>
  <cols>
    <col min="1" max="1" width="25.140625" style="1" customWidth="1"/>
    <col min="2" max="2" width="9.5703125" style="71" customWidth="1"/>
    <col min="3" max="4" width="11.5703125" style="1" customWidth="1"/>
    <col min="5" max="5" width="13.7109375" style="1" customWidth="1"/>
    <col min="6" max="6" width="11.7109375" style="1" customWidth="1"/>
    <col min="7" max="7" width="11.5703125" style="10" customWidth="1"/>
    <col min="8" max="8" width="11.28515625" style="1" customWidth="1"/>
    <col min="9" max="12" width="15.28515625" style="1" customWidth="1"/>
    <col min="13" max="16384" width="15.28515625" style="1"/>
  </cols>
  <sheetData>
    <row r="1" spans="1:13" s="100" customFormat="1" ht="16.5" customHeight="1" x14ac:dyDescent="0.2">
      <c r="A1" s="552" t="s">
        <v>176</v>
      </c>
      <c r="B1" s="552"/>
      <c r="C1" s="552"/>
      <c r="D1" s="552"/>
      <c r="E1" s="552"/>
      <c r="F1" s="552"/>
      <c r="G1" s="552"/>
      <c r="H1" s="40"/>
      <c r="I1" s="454"/>
      <c r="J1" s="454"/>
    </row>
    <row r="2" spans="1:13" ht="12" customHeight="1" x14ac:dyDescent="0.2">
      <c r="A2" s="561" t="s">
        <v>68</v>
      </c>
      <c r="B2" s="563" t="s">
        <v>1</v>
      </c>
      <c r="C2" s="121" t="s">
        <v>110</v>
      </c>
      <c r="D2" s="121" t="s">
        <v>103</v>
      </c>
      <c r="E2" s="120" t="s">
        <v>104</v>
      </c>
      <c r="F2" s="120" t="s">
        <v>207</v>
      </c>
      <c r="G2" s="380" t="s">
        <v>107</v>
      </c>
    </row>
    <row r="3" spans="1:13" ht="12" customHeight="1" x14ac:dyDescent="0.2">
      <c r="A3" s="562"/>
      <c r="B3" s="564"/>
      <c r="C3" s="381" t="s">
        <v>2</v>
      </c>
      <c r="D3" s="381" t="s">
        <v>131</v>
      </c>
      <c r="E3" s="381" t="s">
        <v>111</v>
      </c>
      <c r="F3" s="381" t="s">
        <v>112</v>
      </c>
      <c r="G3" s="537" t="s">
        <v>206</v>
      </c>
      <c r="H3" s="403" t="s">
        <v>110</v>
      </c>
      <c r="I3" s="403" t="s">
        <v>103</v>
      </c>
      <c r="J3" s="402" t="s">
        <v>104</v>
      </c>
      <c r="K3" s="402" t="s">
        <v>132</v>
      </c>
      <c r="L3" s="380" t="s">
        <v>107</v>
      </c>
      <c r="M3" s="381" t="s">
        <v>2</v>
      </c>
    </row>
    <row r="4" spans="1:13" ht="3.75" customHeight="1" x14ac:dyDescent="0.2">
      <c r="A4" s="121"/>
      <c r="B4" s="120"/>
      <c r="C4" s="130"/>
      <c r="D4" s="130"/>
      <c r="E4" s="130"/>
      <c r="F4" s="130"/>
      <c r="G4" s="288"/>
    </row>
    <row r="5" spans="1:13" ht="12" customHeight="1" x14ac:dyDescent="0.2">
      <c r="A5" s="110" t="s">
        <v>20</v>
      </c>
      <c r="B5" s="146" t="s">
        <v>56</v>
      </c>
      <c r="C5" s="54">
        <v>9600</v>
      </c>
      <c r="D5" s="58">
        <v>898</v>
      </c>
      <c r="E5" s="538">
        <v>8620000</v>
      </c>
      <c r="F5" s="117">
        <v>5.7</v>
      </c>
      <c r="G5" s="54">
        <v>49134</v>
      </c>
      <c r="H5" s="188"/>
      <c r="I5" s="189"/>
    </row>
    <row r="6" spans="1:13" ht="12" customHeight="1" x14ac:dyDescent="0.2">
      <c r="A6" s="124"/>
      <c r="B6" s="146" t="s">
        <v>57</v>
      </c>
      <c r="C6" s="54">
        <v>9700</v>
      </c>
      <c r="D6" s="116">
        <v>825</v>
      </c>
      <c r="E6" s="538">
        <v>8000000</v>
      </c>
      <c r="F6" s="117">
        <v>6.99</v>
      </c>
      <c r="G6" s="54">
        <v>55880</v>
      </c>
      <c r="H6" s="188"/>
      <c r="I6" s="189"/>
    </row>
    <row r="7" spans="1:13" ht="12" customHeight="1" x14ac:dyDescent="0.2">
      <c r="A7" s="125"/>
      <c r="B7" s="146" t="s">
        <v>60</v>
      </c>
      <c r="C7" s="54">
        <v>10000</v>
      </c>
      <c r="D7" s="116">
        <v>900</v>
      </c>
      <c r="E7" s="538">
        <v>9000000</v>
      </c>
      <c r="F7" s="117">
        <v>4.37</v>
      </c>
      <c r="G7" s="54">
        <v>39343</v>
      </c>
      <c r="H7" s="188"/>
      <c r="I7" s="450"/>
      <c r="J7" s="450"/>
      <c r="K7" s="450"/>
    </row>
    <row r="8" spans="1:13" ht="12" customHeight="1" x14ac:dyDescent="0.2">
      <c r="A8" s="125"/>
      <c r="B8" s="146" t="s">
        <v>64</v>
      </c>
      <c r="C8" s="54">
        <v>9800</v>
      </c>
      <c r="D8" s="116">
        <v>786</v>
      </c>
      <c r="E8" s="538">
        <v>7700000</v>
      </c>
      <c r="F8" s="117">
        <v>4.91</v>
      </c>
      <c r="G8" s="54">
        <v>37824</v>
      </c>
      <c r="H8" s="188"/>
      <c r="I8" s="189"/>
      <c r="J8" s="189"/>
      <c r="K8" s="189"/>
    </row>
    <row r="9" spans="1:13" ht="12" customHeight="1" x14ac:dyDescent="0.2">
      <c r="A9" s="125"/>
      <c r="B9" s="236" t="s">
        <v>81</v>
      </c>
      <c r="C9" s="252">
        <v>9800</v>
      </c>
      <c r="D9" s="243">
        <v>980</v>
      </c>
      <c r="E9" s="539">
        <v>9600000</v>
      </c>
      <c r="F9" s="238">
        <v>5.25</v>
      </c>
      <c r="G9" s="252">
        <v>50388</v>
      </c>
      <c r="H9" s="188"/>
      <c r="I9" s="189"/>
    </row>
    <row r="10" spans="1:13" ht="12" customHeight="1" x14ac:dyDescent="0.2">
      <c r="A10" s="125"/>
      <c r="B10" s="236" t="s">
        <v>88</v>
      </c>
      <c r="C10" s="252">
        <v>9500</v>
      </c>
      <c r="D10" s="243">
        <v>800</v>
      </c>
      <c r="E10" s="539">
        <v>7600000</v>
      </c>
      <c r="F10" s="238">
        <v>8.91</v>
      </c>
      <c r="G10" s="252">
        <v>67664</v>
      </c>
      <c r="H10" s="188"/>
      <c r="I10" s="189"/>
    </row>
    <row r="11" spans="1:13" ht="12" customHeight="1" x14ac:dyDescent="0.2">
      <c r="A11" s="125"/>
      <c r="B11" s="236" t="s">
        <v>90</v>
      </c>
      <c r="C11" s="252">
        <v>9400</v>
      </c>
      <c r="D11" s="243">
        <v>936</v>
      </c>
      <c r="E11" s="539">
        <v>8800000</v>
      </c>
      <c r="F11" s="238">
        <v>9.51</v>
      </c>
      <c r="G11" s="252">
        <v>83647</v>
      </c>
      <c r="H11" s="188"/>
      <c r="I11" s="189"/>
    </row>
    <row r="12" spans="1:13" ht="12" customHeight="1" x14ac:dyDescent="0.2">
      <c r="A12" s="125"/>
      <c r="B12" s="103" t="s">
        <v>94</v>
      </c>
      <c r="C12" s="252">
        <v>9300</v>
      </c>
      <c r="D12" s="243">
        <v>818</v>
      </c>
      <c r="E12" s="539">
        <v>7600000</v>
      </c>
      <c r="F12" s="238">
        <v>9.17</v>
      </c>
      <c r="G12" s="252">
        <v>69690</v>
      </c>
      <c r="H12" s="188"/>
      <c r="I12" s="189"/>
    </row>
    <row r="13" spans="1:13" ht="12" customHeight="1" x14ac:dyDescent="0.2">
      <c r="A13" s="125"/>
      <c r="B13" s="103" t="s">
        <v>138</v>
      </c>
      <c r="C13" s="252">
        <v>9000</v>
      </c>
      <c r="D13" s="243">
        <f>467*2</f>
        <v>934</v>
      </c>
      <c r="E13" s="539">
        <v>8400000</v>
      </c>
      <c r="F13" s="238">
        <f>13.46/2</f>
        <v>6.73</v>
      </c>
      <c r="G13" s="252">
        <v>56552</v>
      </c>
      <c r="H13" s="98"/>
      <c r="J13" s="46"/>
    </row>
    <row r="14" spans="1:13" ht="12" customHeight="1" x14ac:dyDescent="0.2">
      <c r="A14" s="125"/>
      <c r="B14" s="103" t="s">
        <v>142</v>
      </c>
      <c r="C14" s="252">
        <v>8700</v>
      </c>
      <c r="D14" s="243">
        <v>874</v>
      </c>
      <c r="E14" s="539">
        <v>7600000</v>
      </c>
      <c r="F14" s="238">
        <v>8.625</v>
      </c>
      <c r="G14" s="252">
        <v>65656</v>
      </c>
      <c r="H14" s="481">
        <f>(C14-C13)/C13</f>
        <v>-3.3333333333333333E-2</v>
      </c>
      <c r="I14" s="405">
        <f>(D14-D13)/D13</f>
        <v>-6.4239828693790149E-2</v>
      </c>
      <c r="J14" s="405">
        <f>(E14-E13)/E13</f>
        <v>-9.5238095238095233E-2</v>
      </c>
      <c r="K14" s="405">
        <f>(F14-F13)/F13</f>
        <v>0.28157503714710247</v>
      </c>
      <c r="L14" s="405">
        <f>(G14-G13)/G13</f>
        <v>0.16098458056302165</v>
      </c>
      <c r="M14" s="10">
        <f>C14</f>
        <v>8700</v>
      </c>
    </row>
    <row r="15" spans="1:13" ht="12" customHeight="1" x14ac:dyDescent="0.2">
      <c r="A15" s="125"/>
      <c r="B15" s="151"/>
      <c r="C15" s="151"/>
      <c r="D15" s="149"/>
      <c r="E15" s="134"/>
      <c r="F15" s="150"/>
      <c r="G15" s="289"/>
      <c r="H15" s="188"/>
    </row>
    <row r="16" spans="1:13" ht="12" customHeight="1" x14ac:dyDescent="0.2">
      <c r="A16" s="110" t="s">
        <v>21</v>
      </c>
      <c r="B16" s="146" t="s">
        <v>56</v>
      </c>
      <c r="C16" s="54">
        <v>45000</v>
      </c>
      <c r="D16" s="116">
        <v>912</v>
      </c>
      <c r="E16" s="538">
        <v>41000000</v>
      </c>
      <c r="F16" s="117">
        <v>8.59</v>
      </c>
      <c r="G16" s="54">
        <v>352154</v>
      </c>
      <c r="H16" s="188"/>
    </row>
    <row r="17" spans="1:13" ht="12" customHeight="1" x14ac:dyDescent="0.2">
      <c r="A17" s="124"/>
      <c r="B17" s="146" t="s">
        <v>57</v>
      </c>
      <c r="C17" s="54">
        <v>45000</v>
      </c>
      <c r="D17" s="116">
        <v>912</v>
      </c>
      <c r="E17" s="538">
        <v>41000000</v>
      </c>
      <c r="F17" s="117">
        <v>10.63</v>
      </c>
      <c r="G17" s="54">
        <v>435752</v>
      </c>
      <c r="H17" s="188"/>
      <c r="I17" s="4"/>
    </row>
    <row r="18" spans="1:13" ht="12" customHeight="1" x14ac:dyDescent="0.2">
      <c r="A18" s="125"/>
      <c r="B18" s="146" t="s">
        <v>60</v>
      </c>
      <c r="C18" s="54">
        <v>45000</v>
      </c>
      <c r="D18" s="116">
        <v>933</v>
      </c>
      <c r="E18" s="538">
        <v>42000000</v>
      </c>
      <c r="F18" s="117" t="s">
        <v>82</v>
      </c>
      <c r="G18" s="54" t="s">
        <v>82</v>
      </c>
      <c r="H18" s="188"/>
    </row>
    <row r="19" spans="1:13" ht="12" customHeight="1" x14ac:dyDescent="0.2">
      <c r="A19" s="125"/>
      <c r="B19" s="146" t="s">
        <v>64</v>
      </c>
      <c r="C19" s="54">
        <v>46000</v>
      </c>
      <c r="D19" s="116">
        <v>818</v>
      </c>
      <c r="E19" s="538">
        <v>37600000</v>
      </c>
      <c r="F19" s="117" t="s">
        <v>82</v>
      </c>
      <c r="G19" s="54" t="s">
        <v>82</v>
      </c>
      <c r="H19" s="188"/>
    </row>
    <row r="20" spans="1:13" ht="12" customHeight="1" x14ac:dyDescent="0.2">
      <c r="A20" s="125"/>
      <c r="B20" s="236" t="s">
        <v>81</v>
      </c>
      <c r="C20" s="252">
        <v>47000</v>
      </c>
      <c r="D20" s="243">
        <v>876</v>
      </c>
      <c r="E20" s="539">
        <v>41200000</v>
      </c>
      <c r="F20" s="243" t="s">
        <v>82</v>
      </c>
      <c r="G20" s="252" t="s">
        <v>82</v>
      </c>
      <c r="H20" s="188"/>
    </row>
    <row r="21" spans="1:13" ht="12" customHeight="1" x14ac:dyDescent="0.2">
      <c r="A21" s="125"/>
      <c r="B21" s="239" t="s">
        <v>88</v>
      </c>
      <c r="C21" s="217">
        <v>47000</v>
      </c>
      <c r="D21" s="218">
        <v>894</v>
      </c>
      <c r="E21" s="540">
        <v>42000000</v>
      </c>
      <c r="F21" s="243" t="s">
        <v>82</v>
      </c>
      <c r="G21" s="252" t="s">
        <v>82</v>
      </c>
      <c r="H21" s="188"/>
    </row>
    <row r="22" spans="1:13" ht="12" customHeight="1" x14ac:dyDescent="0.2">
      <c r="A22" s="125"/>
      <c r="B22" s="204" t="s">
        <v>90</v>
      </c>
      <c r="C22" s="217">
        <v>47000</v>
      </c>
      <c r="D22" s="218">
        <v>872</v>
      </c>
      <c r="E22" s="540">
        <v>41000000</v>
      </c>
      <c r="F22" s="243">
        <v>17.510000000000002</v>
      </c>
      <c r="G22" s="252">
        <v>717746</v>
      </c>
      <c r="H22" s="188"/>
    </row>
    <row r="23" spans="1:13" ht="12" customHeight="1" x14ac:dyDescent="0.2">
      <c r="A23" s="125"/>
      <c r="B23" s="198" t="s">
        <v>94</v>
      </c>
      <c r="C23" s="217">
        <v>47000</v>
      </c>
      <c r="D23" s="218">
        <f>451*2</f>
        <v>902</v>
      </c>
      <c r="E23" s="540">
        <v>42400000</v>
      </c>
      <c r="F23" s="243">
        <v>16.079999999999998</v>
      </c>
      <c r="G23" s="252">
        <v>681564</v>
      </c>
      <c r="H23" s="188"/>
    </row>
    <row r="24" spans="1:13" ht="12" customHeight="1" x14ac:dyDescent="0.2">
      <c r="A24" s="125"/>
      <c r="B24" s="198" t="s">
        <v>138</v>
      </c>
      <c r="C24" s="217">
        <v>49000</v>
      </c>
      <c r="D24" s="218">
        <f>484*2</f>
        <v>968</v>
      </c>
      <c r="E24" s="540">
        <f>23700000*2</f>
        <v>47400000</v>
      </c>
      <c r="F24" s="243">
        <f>29.04/2</f>
        <v>14.52</v>
      </c>
      <c r="G24" s="252">
        <v>688163</v>
      </c>
      <c r="H24" s="98"/>
    </row>
    <row r="25" spans="1:13" ht="12" customHeight="1" x14ac:dyDescent="0.2">
      <c r="A25" s="125"/>
      <c r="B25" s="198" t="s">
        <v>142</v>
      </c>
      <c r="C25" s="217">
        <v>50000</v>
      </c>
      <c r="D25" s="219">
        <v>1028</v>
      </c>
      <c r="E25" s="540">
        <v>51400000</v>
      </c>
      <c r="F25" s="238">
        <v>12.1</v>
      </c>
      <c r="G25" s="252">
        <v>621927</v>
      </c>
      <c r="H25" s="481">
        <f>(C25-C24)/C24</f>
        <v>2.0408163265306121E-2</v>
      </c>
      <c r="I25" s="405">
        <f>(D25-D24)/D24</f>
        <v>6.1983471074380167E-2</v>
      </c>
      <c r="J25" s="405">
        <f>(E25-E24)/E24</f>
        <v>8.4388185654008435E-2</v>
      </c>
      <c r="K25" s="405">
        <f>(F25-F24)/F24</f>
        <v>-0.16666666666666666</v>
      </c>
      <c r="L25" s="405">
        <f>(G25-G24)/G24</f>
        <v>-9.6250452291099645E-2</v>
      </c>
      <c r="M25" s="10">
        <f>C25</f>
        <v>50000</v>
      </c>
    </row>
    <row r="26" spans="1:13" ht="12" customHeight="1" x14ac:dyDescent="0.2">
      <c r="A26" s="125"/>
      <c r="B26" s="242"/>
      <c r="C26" s="242"/>
      <c r="D26" s="218"/>
      <c r="E26" s="241"/>
      <c r="F26" s="238"/>
      <c r="G26" s="290"/>
      <c r="H26" s="40"/>
    </row>
    <row r="27" spans="1:13" ht="12" customHeight="1" x14ac:dyDescent="0.2">
      <c r="A27" s="110" t="s">
        <v>22</v>
      </c>
      <c r="B27" s="146" t="s">
        <v>56</v>
      </c>
      <c r="C27" s="54">
        <v>139000</v>
      </c>
      <c r="D27" s="116">
        <v>690</v>
      </c>
      <c r="E27" s="538">
        <v>96000000</v>
      </c>
      <c r="F27" s="117">
        <v>5.25</v>
      </c>
      <c r="G27" s="54">
        <v>503734</v>
      </c>
      <c r="H27" s="188"/>
      <c r="I27"/>
    </row>
    <row r="28" spans="1:13" ht="12" customHeight="1" x14ac:dyDescent="0.2">
      <c r="A28" s="124"/>
      <c r="B28" s="146" t="s">
        <v>57</v>
      </c>
      <c r="C28" s="54">
        <v>137000</v>
      </c>
      <c r="D28" s="116">
        <v>664</v>
      </c>
      <c r="E28" s="538">
        <v>91000000</v>
      </c>
      <c r="F28" s="117">
        <v>6.68</v>
      </c>
      <c r="G28" s="54">
        <v>607432</v>
      </c>
      <c r="H28" s="188"/>
      <c r="I28"/>
    </row>
    <row r="29" spans="1:13" ht="12" customHeight="1" x14ac:dyDescent="0.2">
      <c r="A29" s="125"/>
      <c r="B29" s="146" t="s">
        <v>60</v>
      </c>
      <c r="C29" s="54">
        <v>132000</v>
      </c>
      <c r="D29" s="116">
        <v>644</v>
      </c>
      <c r="E29" s="538">
        <v>85000000</v>
      </c>
      <c r="F29" s="117">
        <v>6.48</v>
      </c>
      <c r="G29" s="54">
        <v>551123</v>
      </c>
      <c r="H29" s="188"/>
    </row>
    <row r="30" spans="1:13" ht="12" customHeight="1" x14ac:dyDescent="0.2">
      <c r="A30" s="125"/>
      <c r="B30" s="147" t="s">
        <v>64</v>
      </c>
      <c r="C30" s="148">
        <v>130000</v>
      </c>
      <c r="D30" s="149">
        <v>595</v>
      </c>
      <c r="E30" s="541">
        <v>77400000</v>
      </c>
      <c r="F30" s="150">
        <v>9.57</v>
      </c>
      <c r="G30" s="148">
        <v>740409</v>
      </c>
      <c r="H30" s="188"/>
    </row>
    <row r="31" spans="1:13" ht="12" customHeight="1" x14ac:dyDescent="0.2">
      <c r="A31" s="125"/>
      <c r="B31" s="236" t="s">
        <v>81</v>
      </c>
      <c r="C31" s="252">
        <v>129000</v>
      </c>
      <c r="D31" s="243">
        <v>604</v>
      </c>
      <c r="E31" s="539">
        <v>78000000</v>
      </c>
      <c r="F31" s="238">
        <v>8.15</v>
      </c>
      <c r="G31" s="252">
        <v>635394</v>
      </c>
      <c r="H31" s="188"/>
    </row>
    <row r="32" spans="1:13" ht="12" customHeight="1" x14ac:dyDescent="0.2">
      <c r="A32" s="125"/>
      <c r="B32" s="236" t="s">
        <v>88</v>
      </c>
      <c r="C32" s="252">
        <v>125000</v>
      </c>
      <c r="D32" s="243">
        <v>756</v>
      </c>
      <c r="E32" s="539">
        <v>94400000</v>
      </c>
      <c r="F32" s="238">
        <v>7.33</v>
      </c>
      <c r="G32" s="252">
        <v>691350</v>
      </c>
      <c r="H32" s="188"/>
    </row>
    <row r="33" spans="1:13" ht="12" customHeight="1" x14ac:dyDescent="0.2">
      <c r="A33" s="125"/>
      <c r="B33" s="204" t="s">
        <v>90</v>
      </c>
      <c r="C33" s="252">
        <v>122000</v>
      </c>
      <c r="D33" s="243">
        <v>644</v>
      </c>
      <c r="E33" s="539">
        <v>78600000</v>
      </c>
      <c r="F33" s="238">
        <v>8.99</v>
      </c>
      <c r="G33" s="252">
        <v>706121</v>
      </c>
      <c r="H33" s="188"/>
    </row>
    <row r="34" spans="1:13" ht="12" customHeight="1" x14ac:dyDescent="0.2">
      <c r="A34" s="125"/>
      <c r="B34" s="102" t="s">
        <v>94</v>
      </c>
      <c r="C34" s="252">
        <v>118000</v>
      </c>
      <c r="D34" s="243">
        <v>608</v>
      </c>
      <c r="E34" s="539">
        <v>71800000</v>
      </c>
      <c r="F34" s="220">
        <v>12.68</v>
      </c>
      <c r="G34" s="252">
        <v>910492</v>
      </c>
      <c r="H34" s="188"/>
      <c r="I34"/>
    </row>
    <row r="35" spans="1:13" ht="12" customHeight="1" x14ac:dyDescent="0.2">
      <c r="A35" s="125"/>
      <c r="B35" s="102" t="s">
        <v>138</v>
      </c>
      <c r="C35" s="252">
        <v>118000</v>
      </c>
      <c r="D35" s="243">
        <v>712</v>
      </c>
      <c r="E35" s="539">
        <f>42000000*2</f>
        <v>84000000</v>
      </c>
      <c r="F35" s="220">
        <f>14.19/2</f>
        <v>7.0949999999999998</v>
      </c>
      <c r="G35" s="252">
        <v>596030</v>
      </c>
      <c r="H35" s="188"/>
      <c r="I35"/>
    </row>
    <row r="36" spans="1:13" ht="12" customHeight="1" x14ac:dyDescent="0.2">
      <c r="A36" s="125"/>
      <c r="B36" s="102" t="s">
        <v>142</v>
      </c>
      <c r="C36" s="252">
        <v>117000</v>
      </c>
      <c r="D36" s="243">
        <v>758</v>
      </c>
      <c r="E36" s="539">
        <v>88600000</v>
      </c>
      <c r="F36" s="220">
        <v>7.63</v>
      </c>
      <c r="G36" s="252">
        <v>676091</v>
      </c>
      <c r="H36" s="481">
        <f>(C36-C35)/C35</f>
        <v>-8.4745762711864406E-3</v>
      </c>
      <c r="I36" s="405">
        <f>(D36-D35)/D35</f>
        <v>6.4606741573033713E-2</v>
      </c>
      <c r="J36" s="405">
        <f>(E36-E35)/E35</f>
        <v>5.4761904761904762E-2</v>
      </c>
      <c r="K36" s="405">
        <f>(F36-F35)/F35</f>
        <v>7.5405214940098678E-2</v>
      </c>
      <c r="L36" s="405">
        <f>(G36-G35)/G35</f>
        <v>0.13432377564887674</v>
      </c>
      <c r="M36" s="10">
        <f>C36</f>
        <v>117000</v>
      </c>
    </row>
    <row r="37" spans="1:13" ht="12" customHeight="1" x14ac:dyDescent="0.2">
      <c r="A37" s="125"/>
      <c r="B37" s="294"/>
      <c r="C37" s="242"/>
      <c r="D37" s="218"/>
      <c r="E37" s="241"/>
      <c r="F37" s="220"/>
      <c r="G37" s="451"/>
    </row>
    <row r="38" spans="1:13" ht="12" customHeight="1" x14ac:dyDescent="0.2">
      <c r="A38" s="110" t="s">
        <v>23</v>
      </c>
      <c r="B38" s="146" t="s">
        <v>56</v>
      </c>
      <c r="C38" s="217">
        <v>41000</v>
      </c>
      <c r="D38" s="218">
        <v>708</v>
      </c>
      <c r="E38" s="540">
        <v>29000000</v>
      </c>
      <c r="F38" s="220">
        <v>5.26</v>
      </c>
      <c r="G38" s="217">
        <v>152604</v>
      </c>
      <c r="H38" s="311"/>
    </row>
    <row r="39" spans="1:13" ht="12" customHeight="1" x14ac:dyDescent="0.2">
      <c r="A39" s="124"/>
      <c r="B39" s="146" t="s">
        <v>57</v>
      </c>
      <c r="C39" s="217">
        <v>40000</v>
      </c>
      <c r="D39" s="218">
        <v>625</v>
      </c>
      <c r="E39" s="540">
        <v>25000000</v>
      </c>
      <c r="F39" s="220">
        <v>6.3</v>
      </c>
      <c r="G39" s="217">
        <v>157351</v>
      </c>
      <c r="H39" s="311"/>
      <c r="I39" s="46"/>
    </row>
    <row r="40" spans="1:13" ht="12" customHeight="1" x14ac:dyDescent="0.2">
      <c r="A40" s="125"/>
      <c r="B40" s="146" t="s">
        <v>60</v>
      </c>
      <c r="C40" s="217">
        <v>39000</v>
      </c>
      <c r="D40" s="218">
        <v>615</v>
      </c>
      <c r="E40" s="540">
        <v>24000000</v>
      </c>
      <c r="F40" s="220">
        <v>6.67</v>
      </c>
      <c r="G40" s="217">
        <v>160014</v>
      </c>
      <c r="H40" s="311"/>
    </row>
    <row r="41" spans="1:13" ht="12" customHeight="1" x14ac:dyDescent="0.2">
      <c r="A41" s="125"/>
      <c r="B41" s="146" t="s">
        <v>64</v>
      </c>
      <c r="C41" s="217">
        <v>36000</v>
      </c>
      <c r="D41" s="218">
        <v>600</v>
      </c>
      <c r="E41" s="540">
        <v>21600000</v>
      </c>
      <c r="F41" s="220">
        <v>9.34</v>
      </c>
      <c r="G41" s="217">
        <v>201762</v>
      </c>
      <c r="H41" s="311"/>
    </row>
    <row r="42" spans="1:13" ht="12" customHeight="1" x14ac:dyDescent="0.2">
      <c r="A42" s="125"/>
      <c r="B42" s="236" t="s">
        <v>81</v>
      </c>
      <c r="C42" s="252">
        <v>34000</v>
      </c>
      <c r="D42" s="243">
        <v>542</v>
      </c>
      <c r="E42" s="539">
        <v>18400000</v>
      </c>
      <c r="F42" s="238">
        <v>7.5</v>
      </c>
      <c r="G42" s="252">
        <v>137962</v>
      </c>
      <c r="H42" s="311"/>
    </row>
    <row r="43" spans="1:13" ht="12" customHeight="1" x14ac:dyDescent="0.2">
      <c r="A43" s="125"/>
      <c r="B43" s="239" t="s">
        <v>88</v>
      </c>
      <c r="C43" s="217">
        <v>32000</v>
      </c>
      <c r="D43" s="218">
        <v>706</v>
      </c>
      <c r="E43" s="540">
        <v>22600000</v>
      </c>
      <c r="F43" s="220">
        <v>5.97</v>
      </c>
      <c r="G43" s="217">
        <v>134944</v>
      </c>
      <c r="H43" s="311"/>
    </row>
    <row r="44" spans="1:13" ht="12" customHeight="1" x14ac:dyDescent="0.2">
      <c r="A44" s="125"/>
      <c r="B44" s="204" t="s">
        <v>90</v>
      </c>
      <c r="C44" s="217">
        <v>30000</v>
      </c>
      <c r="D44" s="218">
        <v>600</v>
      </c>
      <c r="E44" s="540">
        <v>18000000</v>
      </c>
      <c r="F44" s="220">
        <v>10.130000000000001</v>
      </c>
      <c r="G44" s="217">
        <v>182210</v>
      </c>
      <c r="H44" s="311"/>
    </row>
    <row r="45" spans="1:13" ht="12" customHeight="1" x14ac:dyDescent="0.2">
      <c r="A45" s="125"/>
      <c r="B45" s="102" t="s">
        <v>94</v>
      </c>
      <c r="C45" s="217">
        <v>29000</v>
      </c>
      <c r="D45" s="218">
        <f>286*2</f>
        <v>572</v>
      </c>
      <c r="E45" s="540">
        <v>16600000</v>
      </c>
      <c r="F45" s="220">
        <v>11</v>
      </c>
      <c r="G45" s="217">
        <v>182560</v>
      </c>
      <c r="H45" s="311"/>
    </row>
    <row r="46" spans="1:13" ht="12" customHeight="1" x14ac:dyDescent="0.2">
      <c r="A46" s="125"/>
      <c r="B46" s="102" t="s">
        <v>138</v>
      </c>
      <c r="C46" s="217">
        <v>29000</v>
      </c>
      <c r="D46" s="218">
        <f>352*2</f>
        <v>704</v>
      </c>
      <c r="E46" s="540">
        <f>10200000*2</f>
        <v>20400000</v>
      </c>
      <c r="F46" s="220">
        <v>5.07</v>
      </c>
      <c r="G46" s="217">
        <v>103428</v>
      </c>
      <c r="H46" s="98"/>
    </row>
    <row r="47" spans="1:13" ht="12" customHeight="1" x14ac:dyDescent="0.2">
      <c r="A47" s="125"/>
      <c r="B47" s="102" t="s">
        <v>142</v>
      </c>
      <c r="C47" s="217">
        <v>28000</v>
      </c>
      <c r="D47" s="218">
        <v>642</v>
      </c>
      <c r="E47" s="540">
        <v>18000000</v>
      </c>
      <c r="F47" s="220">
        <v>8.6449999999999996</v>
      </c>
      <c r="G47" s="217">
        <v>154980</v>
      </c>
      <c r="H47" s="481">
        <f>(C47-C46)/C46</f>
        <v>-3.4482758620689655E-2</v>
      </c>
      <c r="I47" s="405">
        <f>(D47-D46)/D46</f>
        <v>-8.8068181818181823E-2</v>
      </c>
      <c r="J47" s="405">
        <f>(E47-E46)/E46</f>
        <v>-0.11764705882352941</v>
      </c>
      <c r="K47" s="405">
        <f>(F47-F46)/F46</f>
        <v>0.70512820512820495</v>
      </c>
      <c r="L47" s="405">
        <f>(G47-G46)/G46</f>
        <v>0.49843369300382873</v>
      </c>
      <c r="M47" s="10">
        <f>C47</f>
        <v>28000</v>
      </c>
    </row>
    <row r="48" spans="1:13" ht="12" customHeight="1" x14ac:dyDescent="0.2">
      <c r="A48" s="125"/>
      <c r="B48" s="102"/>
      <c r="C48" s="242"/>
      <c r="D48" s="218"/>
      <c r="E48" s="241"/>
      <c r="F48" s="220"/>
      <c r="G48" s="451"/>
    </row>
    <row r="49" spans="1:13" ht="12" customHeight="1" x14ac:dyDescent="0.2">
      <c r="A49" s="110" t="s">
        <v>24</v>
      </c>
      <c r="B49" s="146" t="s">
        <v>56</v>
      </c>
      <c r="C49" s="217">
        <v>180000</v>
      </c>
      <c r="D49" s="218">
        <v>694</v>
      </c>
      <c r="E49" s="540">
        <v>125000000</v>
      </c>
      <c r="F49" s="220">
        <v>5.25</v>
      </c>
      <c r="G49" s="217">
        <v>656338</v>
      </c>
      <c r="H49" s="311"/>
    </row>
    <row r="50" spans="1:13" ht="12" customHeight="1" x14ac:dyDescent="0.2">
      <c r="A50" s="124"/>
      <c r="B50" s="146" t="s">
        <v>57</v>
      </c>
      <c r="C50" s="217">
        <v>177000</v>
      </c>
      <c r="D50" s="218">
        <v>655</v>
      </c>
      <c r="E50" s="540">
        <v>116000000</v>
      </c>
      <c r="F50" s="220">
        <v>6.6</v>
      </c>
      <c r="G50" s="217">
        <v>764783</v>
      </c>
      <c r="H50" s="311"/>
    </row>
    <row r="51" spans="1:13" ht="12" customHeight="1" x14ac:dyDescent="0.2">
      <c r="A51" s="125"/>
      <c r="B51" s="146" t="s">
        <v>60</v>
      </c>
      <c r="C51" s="217">
        <v>171000</v>
      </c>
      <c r="D51" s="218">
        <v>637</v>
      </c>
      <c r="E51" s="540">
        <v>109000000</v>
      </c>
      <c r="F51" s="220">
        <v>6.52</v>
      </c>
      <c r="G51" s="217">
        <v>711137</v>
      </c>
      <c r="H51" s="311"/>
    </row>
    <row r="52" spans="1:13" ht="12" customHeight="1" x14ac:dyDescent="0.2">
      <c r="A52" s="125"/>
      <c r="B52" s="146" t="s">
        <v>64</v>
      </c>
      <c r="C52" s="217">
        <v>166000</v>
      </c>
      <c r="D52" s="218">
        <v>596</v>
      </c>
      <c r="E52" s="540">
        <v>99000000</v>
      </c>
      <c r="F52" s="220">
        <v>9.52</v>
      </c>
      <c r="G52" s="217">
        <v>942171</v>
      </c>
      <c r="H52" s="311"/>
    </row>
    <row r="53" spans="1:13" ht="12" customHeight="1" x14ac:dyDescent="0.2">
      <c r="A53" s="125"/>
      <c r="B53" s="236" t="s">
        <v>81</v>
      </c>
      <c r="C53" s="252">
        <v>163000</v>
      </c>
      <c r="D53" s="243">
        <v>592</v>
      </c>
      <c r="E53" s="539">
        <v>96400000</v>
      </c>
      <c r="F53" s="238">
        <v>8.02</v>
      </c>
      <c r="G53" s="252">
        <v>773356</v>
      </c>
      <c r="H53" s="311"/>
    </row>
    <row r="54" spans="1:13" ht="12" customHeight="1" x14ac:dyDescent="0.2">
      <c r="A54" s="125"/>
      <c r="B54" s="204" t="s">
        <v>88</v>
      </c>
      <c r="C54" s="252">
        <v>157000</v>
      </c>
      <c r="D54" s="243">
        <v>746</v>
      </c>
      <c r="E54" s="539">
        <v>117000000</v>
      </c>
      <c r="F54" s="238">
        <v>7.06</v>
      </c>
      <c r="G54" s="252">
        <v>826294</v>
      </c>
      <c r="H54" s="311"/>
    </row>
    <row r="55" spans="1:13" ht="12" customHeight="1" x14ac:dyDescent="0.2">
      <c r="A55" s="125"/>
      <c r="B55" s="304" t="s">
        <v>90</v>
      </c>
      <c r="C55" s="233">
        <v>152000</v>
      </c>
      <c r="D55" s="305">
        <v>636</v>
      </c>
      <c r="E55" s="542">
        <v>96600000</v>
      </c>
      <c r="F55" s="234">
        <v>9.1999999999999993</v>
      </c>
      <c r="G55" s="233">
        <v>888331</v>
      </c>
      <c r="H55" s="311"/>
    </row>
    <row r="56" spans="1:13" ht="12" customHeight="1" x14ac:dyDescent="0.2">
      <c r="A56" s="125"/>
      <c r="B56" s="304" t="s">
        <v>94</v>
      </c>
      <c r="C56" s="233">
        <v>147000</v>
      </c>
      <c r="D56" s="305">
        <v>602</v>
      </c>
      <c r="E56" s="542">
        <v>88400000</v>
      </c>
      <c r="F56" s="234">
        <v>12.37</v>
      </c>
      <c r="G56" s="233">
        <v>1093052</v>
      </c>
      <c r="H56" s="311"/>
    </row>
    <row r="57" spans="1:13" ht="12" customHeight="1" x14ac:dyDescent="0.2">
      <c r="A57" s="153"/>
      <c r="B57" s="304" t="s">
        <v>138</v>
      </c>
      <c r="C57" s="233">
        <v>147000</v>
      </c>
      <c r="D57" s="305">
        <f>355*2</f>
        <v>710</v>
      </c>
      <c r="E57" s="542">
        <f>52200*2000</f>
        <v>104400000</v>
      </c>
      <c r="F57" s="234">
        <f>13.4/2</f>
        <v>6.7</v>
      </c>
      <c r="G57" s="233">
        <v>699458</v>
      </c>
      <c r="H57" s="311"/>
    </row>
    <row r="58" spans="1:13" ht="12" customHeight="1" x14ac:dyDescent="0.2">
      <c r="A58" s="443"/>
      <c r="B58" s="444" t="s">
        <v>142</v>
      </c>
      <c r="C58" s="227">
        <v>145000</v>
      </c>
      <c r="D58" s="452">
        <v>736</v>
      </c>
      <c r="E58" s="543">
        <v>106600000</v>
      </c>
      <c r="F58" s="453">
        <v>7.7949999999999999</v>
      </c>
      <c r="G58" s="227">
        <v>831071</v>
      </c>
      <c r="H58" s="481">
        <f>(C58-C57)/C57</f>
        <v>-1.3605442176870748E-2</v>
      </c>
      <c r="I58" s="405">
        <f>(D58-D57)/D57</f>
        <v>3.6619718309859155E-2</v>
      </c>
      <c r="J58" s="405">
        <f>(E58-E57)/E57</f>
        <v>2.1072796934865901E-2</v>
      </c>
      <c r="K58" s="405">
        <f>(F58-F57)/F57</f>
        <v>0.16343283582089549</v>
      </c>
      <c r="L58" s="405">
        <f>(G58-G57)/G57</f>
        <v>0.18816426433038153</v>
      </c>
      <c r="M58" s="10">
        <f>C58</f>
        <v>145000</v>
      </c>
    </row>
    <row r="59" spans="1:13" ht="3.75" customHeight="1" x14ac:dyDescent="0.2">
      <c r="A59" s="153"/>
      <c r="B59" s="154"/>
      <c r="C59" s="291"/>
      <c r="D59" s="291"/>
      <c r="E59" s="544"/>
      <c r="F59" s="234"/>
      <c r="G59" s="291"/>
    </row>
    <row r="60" spans="1:13" ht="12" customHeight="1" x14ac:dyDescent="0.2">
      <c r="A60" s="155" t="s">
        <v>53</v>
      </c>
      <c r="B60" s="146" t="s">
        <v>56</v>
      </c>
      <c r="C60" s="54">
        <v>33000</v>
      </c>
      <c r="D60" s="116">
        <v>642</v>
      </c>
      <c r="E60" s="538">
        <v>21200000</v>
      </c>
      <c r="F60" s="116" t="s">
        <v>82</v>
      </c>
      <c r="G60" s="54" t="s">
        <v>82</v>
      </c>
    </row>
    <row r="61" spans="1:13" ht="12" customHeight="1" x14ac:dyDescent="0.2">
      <c r="A61" s="110" t="s">
        <v>54</v>
      </c>
      <c r="B61" s="146" t="s">
        <v>57</v>
      </c>
      <c r="C61" s="54">
        <v>38000</v>
      </c>
      <c r="D61" s="116">
        <v>568</v>
      </c>
      <c r="E61" s="538">
        <v>21600000</v>
      </c>
      <c r="F61" s="116" t="s">
        <v>82</v>
      </c>
      <c r="G61" s="54" t="s">
        <v>82</v>
      </c>
    </row>
    <row r="62" spans="1:13" ht="12" customHeight="1" x14ac:dyDescent="0.2">
      <c r="A62" s="110" t="s">
        <v>55</v>
      </c>
      <c r="B62" s="146" t="s">
        <v>60</v>
      </c>
      <c r="C62" s="54">
        <v>41000</v>
      </c>
      <c r="D62" s="116">
        <v>634</v>
      </c>
      <c r="E62" s="538">
        <v>26000000</v>
      </c>
      <c r="F62" s="116" t="s">
        <v>82</v>
      </c>
      <c r="G62" s="54" t="s">
        <v>82</v>
      </c>
    </row>
    <row r="63" spans="1:13" ht="12" customHeight="1" x14ac:dyDescent="0.2">
      <c r="A63" s="124"/>
      <c r="B63" s="146" t="s">
        <v>64</v>
      </c>
      <c r="C63" s="54">
        <v>46000</v>
      </c>
      <c r="D63" s="116">
        <v>626</v>
      </c>
      <c r="E63" s="538">
        <v>29400000</v>
      </c>
      <c r="F63" s="116" t="s">
        <v>82</v>
      </c>
      <c r="G63" s="54" t="s">
        <v>82</v>
      </c>
      <c r="I63" s="450"/>
      <c r="J63" s="450"/>
      <c r="K63" s="450"/>
    </row>
    <row r="64" spans="1:13" ht="12" customHeight="1" x14ac:dyDescent="0.2">
      <c r="A64" s="125"/>
      <c r="B64" s="236" t="s">
        <v>81</v>
      </c>
      <c r="C64" s="252">
        <v>52000</v>
      </c>
      <c r="D64" s="243">
        <v>720</v>
      </c>
      <c r="E64" s="539">
        <v>37400000</v>
      </c>
      <c r="F64" s="243" t="s">
        <v>82</v>
      </c>
      <c r="G64" s="252" t="s">
        <v>82</v>
      </c>
      <c r="I64" s="189"/>
      <c r="J64" s="189"/>
      <c r="K64" s="189"/>
    </row>
    <row r="65" spans="1:13" s="42" customFormat="1" ht="12" customHeight="1" x14ac:dyDescent="0.2">
      <c r="A65" s="138"/>
      <c r="B65" s="236" t="s">
        <v>88</v>
      </c>
      <c r="C65" s="252">
        <v>57000</v>
      </c>
      <c r="D65" s="243">
        <v>762</v>
      </c>
      <c r="E65" s="539">
        <v>43400000</v>
      </c>
      <c r="F65" s="243" t="s">
        <v>82</v>
      </c>
      <c r="G65" s="252" t="s">
        <v>82</v>
      </c>
      <c r="I65" s="189"/>
      <c r="J65" s="1"/>
      <c r="K65" s="1"/>
    </row>
    <row r="66" spans="1:13" s="42" customFormat="1" ht="12" customHeight="1" x14ac:dyDescent="0.2">
      <c r="A66" s="138"/>
      <c r="B66" s="236" t="s">
        <v>90</v>
      </c>
      <c r="C66" s="252">
        <v>59000</v>
      </c>
      <c r="D66" s="243">
        <v>806</v>
      </c>
      <c r="E66" s="539">
        <v>47600000</v>
      </c>
      <c r="F66" s="243">
        <v>11.18</v>
      </c>
      <c r="G66" s="252">
        <v>532038</v>
      </c>
      <c r="H66" s="41"/>
      <c r="I66" s="189"/>
      <c r="J66" s="1"/>
      <c r="K66" s="1"/>
    </row>
    <row r="67" spans="1:13" s="42" customFormat="1" ht="12" customHeight="1" x14ac:dyDescent="0.2">
      <c r="A67" s="138"/>
      <c r="B67" s="236" t="s">
        <v>94</v>
      </c>
      <c r="C67" s="252">
        <v>62000</v>
      </c>
      <c r="D67" s="243">
        <v>620</v>
      </c>
      <c r="E67" s="539">
        <v>38400000</v>
      </c>
      <c r="F67" s="243">
        <v>14.48</v>
      </c>
      <c r="G67" s="252">
        <v>556024</v>
      </c>
      <c r="H67" s="41"/>
      <c r="I67" s="189"/>
      <c r="J67" s="1"/>
      <c r="K67" s="1"/>
    </row>
    <row r="68" spans="1:13" s="42" customFormat="1" ht="12" customHeight="1" x14ac:dyDescent="0.2">
      <c r="A68" s="138"/>
      <c r="B68" s="236" t="s">
        <v>138</v>
      </c>
      <c r="C68" s="252">
        <v>64000</v>
      </c>
      <c r="D68" s="243">
        <v>828</v>
      </c>
      <c r="E68" s="539">
        <f>26500000*2</f>
        <v>53000000</v>
      </c>
      <c r="F68" s="238">
        <f>25.65/2</f>
        <v>12.824999999999999</v>
      </c>
      <c r="G68" s="252">
        <v>679638</v>
      </c>
      <c r="H68" s="98"/>
      <c r="J68" s="1"/>
      <c r="K68" s="1"/>
    </row>
    <row r="69" spans="1:13" s="42" customFormat="1" ht="12" customHeight="1" thickBot="1" x14ac:dyDescent="0.25">
      <c r="A69" s="294"/>
      <c r="B69" s="236" t="s">
        <v>142</v>
      </c>
      <c r="C69" s="252">
        <v>66000</v>
      </c>
      <c r="D69" s="243">
        <v>666</v>
      </c>
      <c r="E69" s="539">
        <v>44000000</v>
      </c>
      <c r="F69" s="238">
        <v>17.885000000000002</v>
      </c>
      <c r="G69" s="252">
        <v>786870</v>
      </c>
      <c r="H69" s="481">
        <f>(C69-C68)/C68</f>
        <v>3.125E-2</v>
      </c>
      <c r="I69" s="405">
        <f>(D69-D68)/D68</f>
        <v>-0.19565217391304349</v>
      </c>
      <c r="J69" s="405">
        <f>(E69-E68)/E68</f>
        <v>-0.16981132075471697</v>
      </c>
      <c r="K69" s="405">
        <f>(F69-F68)/F68</f>
        <v>0.39454191033138419</v>
      </c>
      <c r="L69" s="405">
        <f>(G69-G68)/G68</f>
        <v>0.1577781112886566</v>
      </c>
      <c r="M69" s="27">
        <f>C69</f>
        <v>66000</v>
      </c>
    </row>
    <row r="70" spans="1:13" s="42" customFormat="1" ht="13.5" customHeight="1" x14ac:dyDescent="0.2">
      <c r="A70" s="560" t="s">
        <v>205</v>
      </c>
      <c r="B70" s="560"/>
      <c r="C70" s="560"/>
      <c r="D70" s="560"/>
      <c r="E70" s="560"/>
      <c r="F70" s="560"/>
      <c r="G70" s="560"/>
      <c r="H70" s="184"/>
      <c r="M70" s="27">
        <f>M69+M58+M25+M14</f>
        <v>269700</v>
      </c>
    </row>
    <row r="71" spans="1:13" s="42" customFormat="1" ht="12" customHeight="1" x14ac:dyDescent="0.2">
      <c r="A71" s="559" t="s">
        <v>204</v>
      </c>
      <c r="B71" s="559"/>
      <c r="C71" s="559"/>
      <c r="D71" s="559"/>
      <c r="E71" s="559"/>
      <c r="F71" s="559"/>
      <c r="G71" s="559"/>
      <c r="H71" s="185"/>
    </row>
    <row r="72" spans="1:13" s="42" customFormat="1" ht="12" customHeight="1" x14ac:dyDescent="0.2">
      <c r="A72" s="520" t="s">
        <v>203</v>
      </c>
      <c r="B72" s="521"/>
      <c r="C72" s="522"/>
      <c r="D72" s="523"/>
      <c r="E72" s="522"/>
      <c r="F72" s="524"/>
      <c r="G72" s="522"/>
      <c r="H72" s="185"/>
    </row>
    <row r="73" spans="1:13" s="42" customFormat="1" ht="12" customHeight="1" x14ac:dyDescent="0.2">
      <c r="A73" s="520" t="s">
        <v>87</v>
      </c>
      <c r="B73" s="520"/>
      <c r="C73" s="520"/>
      <c r="D73" s="520"/>
      <c r="E73" s="520"/>
      <c r="F73" s="520"/>
      <c r="G73" s="520"/>
      <c r="H73" s="8"/>
    </row>
    <row r="74" spans="1:13" s="42" customFormat="1" ht="12" customHeight="1" x14ac:dyDescent="0.2">
      <c r="A74" s="164"/>
      <c r="B74" s="525"/>
      <c r="C74" s="526"/>
      <c r="D74" s="168"/>
      <c r="E74" s="526"/>
      <c r="F74" s="527"/>
      <c r="G74" s="168"/>
      <c r="H74" s="8"/>
    </row>
    <row r="75" spans="1:13" s="42" customFormat="1" x14ac:dyDescent="0.2">
      <c r="A75" s="6"/>
      <c r="B75" s="71"/>
      <c r="E75" s="100"/>
      <c r="G75" s="27"/>
      <c r="I75" s="41"/>
      <c r="J75" s="46"/>
    </row>
    <row r="76" spans="1:13" s="42" customFormat="1" x14ac:dyDescent="0.2">
      <c r="A76" s="48"/>
      <c r="B76" s="71"/>
      <c r="C76" s="41"/>
      <c r="D76" s="41"/>
      <c r="E76" s="41"/>
      <c r="F76" s="41"/>
      <c r="G76" s="292"/>
      <c r="H76" s="41"/>
      <c r="I76" s="41"/>
    </row>
    <row r="77" spans="1:13" s="42" customFormat="1" x14ac:dyDescent="0.2">
      <c r="A77" s="433"/>
      <c r="B77" s="72"/>
      <c r="C77" s="86"/>
      <c r="D77" s="86"/>
      <c r="E77" s="86"/>
      <c r="F77" s="86"/>
      <c r="G77" s="27"/>
    </row>
    <row r="78" spans="1:13" s="42" customFormat="1" ht="12.75" x14ac:dyDescent="0.2">
      <c r="A78" s="86"/>
      <c r="B78" s="72"/>
      <c r="C78" s="87"/>
      <c r="D78" s="87"/>
      <c r="E78" s="87"/>
      <c r="F78" s="87"/>
      <c r="G78" s="29"/>
    </row>
    <row r="79" spans="1:13" s="42" customFormat="1" ht="12.75" x14ac:dyDescent="0.2">
      <c r="A79" s="86"/>
      <c r="B79" s="72"/>
      <c r="C79" s="87"/>
      <c r="D79" s="87"/>
      <c r="E79" s="87"/>
      <c r="F79" s="87"/>
      <c r="G79" s="29"/>
    </row>
    <row r="80" spans="1:13" s="42" customFormat="1" x14ac:dyDescent="0.2">
      <c r="B80" s="71"/>
      <c r="G80" s="27"/>
    </row>
    <row r="81" spans="2:7" s="42" customFormat="1" x14ac:dyDescent="0.2">
      <c r="B81" s="71"/>
      <c r="G81" s="27"/>
    </row>
    <row r="82" spans="2:7" s="42" customFormat="1" x14ac:dyDescent="0.2">
      <c r="B82" s="71"/>
      <c r="G82" s="27"/>
    </row>
    <row r="83" spans="2:7" s="42" customFormat="1" x14ac:dyDescent="0.2">
      <c r="B83" s="71"/>
      <c r="G83" s="27"/>
    </row>
    <row r="84" spans="2:7" s="42" customFormat="1" x14ac:dyDescent="0.2">
      <c r="B84" s="71"/>
      <c r="G84" s="27"/>
    </row>
    <row r="85" spans="2:7" s="42" customFormat="1" x14ac:dyDescent="0.2">
      <c r="B85" s="71"/>
      <c r="G85" s="27"/>
    </row>
    <row r="86" spans="2:7" s="42" customFormat="1" x14ac:dyDescent="0.2">
      <c r="B86" s="71"/>
      <c r="G86" s="27"/>
    </row>
    <row r="87" spans="2:7" s="42" customFormat="1" x14ac:dyDescent="0.2">
      <c r="B87" s="71"/>
      <c r="G87" s="27"/>
    </row>
    <row r="88" spans="2:7" s="42" customFormat="1" x14ac:dyDescent="0.2">
      <c r="B88" s="71"/>
      <c r="G88" s="27"/>
    </row>
    <row r="89" spans="2:7" s="42" customFormat="1" x14ac:dyDescent="0.2">
      <c r="B89" s="71"/>
      <c r="G89" s="27"/>
    </row>
    <row r="90" spans="2:7" s="42" customFormat="1" x14ac:dyDescent="0.2">
      <c r="B90" s="71"/>
      <c r="G90" s="27"/>
    </row>
    <row r="91" spans="2:7" s="42" customFormat="1" x14ac:dyDescent="0.2">
      <c r="B91" s="71"/>
      <c r="G91" s="27"/>
    </row>
    <row r="92" spans="2:7" s="42" customFormat="1" x14ac:dyDescent="0.2">
      <c r="B92" s="71"/>
      <c r="G92" s="27"/>
    </row>
    <row r="93" spans="2:7" s="42" customFormat="1" x14ac:dyDescent="0.2">
      <c r="B93" s="71"/>
      <c r="G93" s="27"/>
    </row>
    <row r="94" spans="2:7" s="42" customFormat="1" x14ac:dyDescent="0.2">
      <c r="B94" s="71"/>
      <c r="G94" s="27"/>
    </row>
    <row r="95" spans="2:7" s="42" customFormat="1" x14ac:dyDescent="0.2">
      <c r="B95" s="71"/>
      <c r="G95" s="27"/>
    </row>
    <row r="96" spans="2:7" s="42" customFormat="1" x14ac:dyDescent="0.2">
      <c r="B96" s="71"/>
      <c r="G96" s="27"/>
    </row>
    <row r="97" spans="2:7" s="42" customFormat="1" x14ac:dyDescent="0.2">
      <c r="B97" s="71"/>
      <c r="G97" s="27"/>
    </row>
    <row r="98" spans="2:7" s="42" customFormat="1" x14ac:dyDescent="0.2">
      <c r="B98" s="71"/>
      <c r="G98" s="27"/>
    </row>
    <row r="99" spans="2:7" s="42" customFormat="1" x14ac:dyDescent="0.2">
      <c r="B99" s="71"/>
      <c r="G99" s="27"/>
    </row>
    <row r="100" spans="2:7" s="42" customFormat="1" x14ac:dyDescent="0.2">
      <c r="B100" s="71"/>
      <c r="G100" s="27"/>
    </row>
    <row r="101" spans="2:7" s="42" customFormat="1" x14ac:dyDescent="0.2">
      <c r="B101" s="71"/>
      <c r="G101" s="27"/>
    </row>
    <row r="102" spans="2:7" s="42" customFormat="1" x14ac:dyDescent="0.2">
      <c r="B102" s="71"/>
      <c r="G102" s="27"/>
    </row>
    <row r="103" spans="2:7" s="42" customFormat="1" x14ac:dyDescent="0.2">
      <c r="B103" s="71"/>
      <c r="G103" s="27"/>
    </row>
    <row r="104" spans="2:7" s="42" customFormat="1" x14ac:dyDescent="0.2">
      <c r="B104" s="71"/>
      <c r="G104" s="27"/>
    </row>
    <row r="105" spans="2:7" s="42" customFormat="1" x14ac:dyDescent="0.2">
      <c r="B105" s="71"/>
      <c r="G105" s="27"/>
    </row>
    <row r="106" spans="2:7" s="42" customFormat="1" x14ac:dyDescent="0.2">
      <c r="B106" s="71"/>
      <c r="G106" s="27"/>
    </row>
    <row r="107" spans="2:7" s="42" customFormat="1" x14ac:dyDescent="0.2">
      <c r="B107" s="71"/>
      <c r="G107" s="27"/>
    </row>
    <row r="108" spans="2:7" s="42" customFormat="1" x14ac:dyDescent="0.2">
      <c r="B108" s="71"/>
      <c r="G108" s="27"/>
    </row>
    <row r="109" spans="2:7" s="42" customFormat="1" x14ac:dyDescent="0.2">
      <c r="B109" s="71"/>
      <c r="G109" s="27"/>
    </row>
    <row r="110" spans="2:7" s="42" customFormat="1" x14ac:dyDescent="0.2">
      <c r="B110" s="71"/>
      <c r="G110" s="27"/>
    </row>
    <row r="111" spans="2:7" s="42" customFormat="1" x14ac:dyDescent="0.2">
      <c r="B111" s="71"/>
      <c r="G111" s="27"/>
    </row>
    <row r="112" spans="2:7" s="42" customFormat="1" x14ac:dyDescent="0.2">
      <c r="B112" s="71"/>
      <c r="G112" s="27"/>
    </row>
    <row r="113" spans="2:7" s="42" customFormat="1" x14ac:dyDescent="0.2">
      <c r="B113" s="71"/>
      <c r="G113" s="27"/>
    </row>
    <row r="114" spans="2:7" s="42" customFormat="1" x14ac:dyDescent="0.2">
      <c r="B114" s="71"/>
      <c r="G114" s="27"/>
    </row>
    <row r="115" spans="2:7" s="42" customFormat="1" x14ac:dyDescent="0.2">
      <c r="B115" s="71"/>
      <c r="G115" s="27"/>
    </row>
    <row r="116" spans="2:7" s="42" customFormat="1" x14ac:dyDescent="0.2">
      <c r="B116" s="71"/>
      <c r="G116" s="27"/>
    </row>
    <row r="117" spans="2:7" s="42" customFormat="1" x14ac:dyDescent="0.2">
      <c r="B117" s="71"/>
      <c r="G117" s="27"/>
    </row>
    <row r="118" spans="2:7" s="42" customFormat="1" x14ac:dyDescent="0.2">
      <c r="B118" s="71"/>
      <c r="G118" s="27"/>
    </row>
    <row r="119" spans="2:7" s="42" customFormat="1" x14ac:dyDescent="0.2">
      <c r="B119" s="71"/>
      <c r="G119" s="27"/>
    </row>
    <row r="120" spans="2:7" s="42" customFormat="1" x14ac:dyDescent="0.2">
      <c r="B120" s="71"/>
      <c r="G120" s="27"/>
    </row>
    <row r="121" spans="2:7" s="42" customFormat="1" x14ac:dyDescent="0.2">
      <c r="B121" s="71"/>
      <c r="G121" s="27"/>
    </row>
    <row r="122" spans="2:7" s="42" customFormat="1" x14ac:dyDescent="0.2">
      <c r="B122" s="71"/>
      <c r="G122" s="27"/>
    </row>
    <row r="123" spans="2:7" s="42" customFormat="1" x14ac:dyDescent="0.2">
      <c r="B123" s="71"/>
      <c r="G123" s="27"/>
    </row>
    <row r="124" spans="2:7" s="42" customFormat="1" x14ac:dyDescent="0.2">
      <c r="B124" s="71"/>
      <c r="G124" s="27"/>
    </row>
    <row r="125" spans="2:7" s="42" customFormat="1" x14ac:dyDescent="0.2">
      <c r="B125" s="71"/>
      <c r="G125" s="27"/>
    </row>
    <row r="126" spans="2:7" s="42" customFormat="1" x14ac:dyDescent="0.2">
      <c r="B126" s="71"/>
      <c r="G126" s="27"/>
    </row>
    <row r="127" spans="2:7" s="42" customFormat="1" x14ac:dyDescent="0.2">
      <c r="B127" s="71"/>
      <c r="G127" s="27"/>
    </row>
    <row r="128" spans="2:7" s="42" customFormat="1" x14ac:dyDescent="0.2">
      <c r="B128" s="71"/>
      <c r="G128" s="27"/>
    </row>
    <row r="129" spans="2:7" s="42" customFormat="1" x14ac:dyDescent="0.2">
      <c r="B129" s="71"/>
      <c r="G129" s="27"/>
    </row>
    <row r="130" spans="2:7" s="42" customFormat="1" x14ac:dyDescent="0.2">
      <c r="B130" s="71"/>
      <c r="G130" s="27"/>
    </row>
    <row r="131" spans="2:7" s="42" customFormat="1" x14ac:dyDescent="0.2">
      <c r="B131" s="71"/>
      <c r="G131" s="27"/>
    </row>
    <row r="132" spans="2:7" s="42" customFormat="1" x14ac:dyDescent="0.2">
      <c r="B132" s="71"/>
      <c r="G132" s="27"/>
    </row>
    <row r="133" spans="2:7" s="42" customFormat="1" x14ac:dyDescent="0.2">
      <c r="B133" s="71"/>
      <c r="G133" s="27"/>
    </row>
    <row r="134" spans="2:7" s="42" customFormat="1" x14ac:dyDescent="0.2">
      <c r="B134" s="71"/>
      <c r="G134" s="27"/>
    </row>
    <row r="135" spans="2:7" s="42" customFormat="1" x14ac:dyDescent="0.2">
      <c r="B135" s="71"/>
      <c r="G135" s="27"/>
    </row>
    <row r="136" spans="2:7" s="42" customFormat="1" x14ac:dyDescent="0.2">
      <c r="B136" s="71"/>
      <c r="G136" s="27"/>
    </row>
    <row r="137" spans="2:7" s="42" customFormat="1" x14ac:dyDescent="0.2">
      <c r="B137" s="71"/>
      <c r="G137" s="27"/>
    </row>
    <row r="138" spans="2:7" s="42" customFormat="1" x14ac:dyDescent="0.2">
      <c r="B138" s="71"/>
      <c r="G138" s="27"/>
    </row>
    <row r="139" spans="2:7" s="42" customFormat="1" x14ac:dyDescent="0.2">
      <c r="B139" s="71"/>
      <c r="G139" s="27"/>
    </row>
    <row r="140" spans="2:7" s="42" customFormat="1" x14ac:dyDescent="0.2">
      <c r="B140" s="71"/>
      <c r="G140" s="27"/>
    </row>
    <row r="141" spans="2:7" s="42" customFormat="1" x14ac:dyDescent="0.2">
      <c r="B141" s="71"/>
      <c r="G141" s="27"/>
    </row>
    <row r="142" spans="2:7" s="42" customFormat="1" x14ac:dyDescent="0.2">
      <c r="B142" s="71"/>
      <c r="G142" s="27"/>
    </row>
    <row r="143" spans="2:7" s="42" customFormat="1" x14ac:dyDescent="0.2">
      <c r="B143" s="71"/>
      <c r="G143" s="27"/>
    </row>
    <row r="144" spans="2:7" s="42" customFormat="1" x14ac:dyDescent="0.2">
      <c r="B144" s="71"/>
      <c r="G144" s="27"/>
    </row>
    <row r="145" spans="1:7" s="42" customFormat="1" x14ac:dyDescent="0.2">
      <c r="B145" s="71"/>
      <c r="G145" s="27"/>
    </row>
    <row r="146" spans="1:7" s="42" customFormat="1" x14ac:dyDescent="0.2">
      <c r="B146" s="71"/>
      <c r="G146" s="27"/>
    </row>
    <row r="147" spans="1:7" s="42" customFormat="1" x14ac:dyDescent="0.2">
      <c r="B147" s="71"/>
      <c r="G147" s="27"/>
    </row>
    <row r="148" spans="1:7" s="42" customFormat="1" x14ac:dyDescent="0.2">
      <c r="B148" s="71"/>
      <c r="G148" s="27"/>
    </row>
    <row r="149" spans="1:7" s="42" customFormat="1" x14ac:dyDescent="0.2">
      <c r="B149" s="71"/>
      <c r="G149" s="27"/>
    </row>
    <row r="150" spans="1:7" s="42" customFormat="1" x14ac:dyDescent="0.2">
      <c r="B150" s="71"/>
      <c r="G150" s="27"/>
    </row>
    <row r="151" spans="1:7" s="42" customFormat="1" x14ac:dyDescent="0.2">
      <c r="B151" s="71"/>
      <c r="G151" s="27"/>
    </row>
    <row r="152" spans="1:7" s="42" customFormat="1" ht="12.75" x14ac:dyDescent="0.2">
      <c r="B152" s="71"/>
      <c r="C152" s="47"/>
      <c r="D152" s="47"/>
      <c r="E152" s="47"/>
      <c r="F152" s="47"/>
      <c r="G152" s="29"/>
    </row>
    <row r="153" spans="1:7" s="42" customFormat="1" x14ac:dyDescent="0.2">
      <c r="A153" s="48"/>
      <c r="B153" s="71"/>
      <c r="C153" s="23"/>
      <c r="D153" s="24"/>
      <c r="E153" s="23"/>
      <c r="F153" s="16"/>
      <c r="G153" s="23"/>
    </row>
    <row r="154" spans="1:7" s="42" customFormat="1" x14ac:dyDescent="0.2">
      <c r="A154" s="48"/>
      <c r="B154" s="71"/>
      <c r="C154" s="23"/>
      <c r="D154" s="24"/>
      <c r="E154" s="23"/>
      <c r="F154" s="16"/>
      <c r="G154" s="23"/>
    </row>
    <row r="155" spans="1:7" s="42" customFormat="1" x14ac:dyDescent="0.2">
      <c r="A155" s="48"/>
      <c r="B155" s="71"/>
      <c r="G155" s="27"/>
    </row>
    <row r="156" spans="1:7" s="42" customFormat="1" x14ac:dyDescent="0.2">
      <c r="A156" s="48"/>
      <c r="B156" s="71"/>
      <c r="C156" s="2"/>
      <c r="D156" s="2"/>
      <c r="E156" s="2"/>
      <c r="F156" s="2"/>
      <c r="G156" s="280"/>
    </row>
    <row r="157" spans="1:7" s="42" customFormat="1" x14ac:dyDescent="0.2">
      <c r="A157" s="48"/>
      <c r="B157" s="71"/>
      <c r="C157" s="23"/>
      <c r="D157" s="24"/>
      <c r="E157" s="23"/>
      <c r="F157" s="16"/>
      <c r="G157" s="23"/>
    </row>
    <row r="158" spans="1:7" s="42" customFormat="1" x14ac:dyDescent="0.2">
      <c r="A158" s="48"/>
      <c r="B158" s="71"/>
      <c r="C158" s="23"/>
      <c r="D158" s="24"/>
      <c r="E158" s="23"/>
      <c r="F158" s="16"/>
      <c r="G158" s="23"/>
    </row>
    <row r="159" spans="1:7" s="42" customFormat="1" x14ac:dyDescent="0.2">
      <c r="A159" s="48"/>
      <c r="B159" s="71"/>
      <c r="C159" s="23"/>
      <c r="D159" s="24"/>
      <c r="E159" s="23"/>
      <c r="F159" s="16"/>
      <c r="G159" s="23"/>
    </row>
    <row r="160" spans="1:7" s="42" customFormat="1" x14ac:dyDescent="0.2">
      <c r="A160" s="48"/>
      <c r="B160" s="71"/>
      <c r="C160" s="23"/>
      <c r="D160" s="24"/>
      <c r="E160" s="23"/>
      <c r="F160" s="16"/>
      <c r="G160" s="23"/>
    </row>
    <row r="161" spans="1:7" s="42" customFormat="1" x14ac:dyDescent="0.2">
      <c r="A161" s="48"/>
      <c r="B161" s="71"/>
      <c r="C161" s="23"/>
      <c r="D161" s="24"/>
      <c r="E161" s="23"/>
      <c r="F161" s="16"/>
      <c r="G161" s="23"/>
    </row>
    <row r="162" spans="1:7" s="42" customFormat="1" x14ac:dyDescent="0.2">
      <c r="A162" s="48"/>
      <c r="B162" s="71"/>
      <c r="C162" s="23"/>
      <c r="D162" s="24"/>
      <c r="E162" s="23"/>
      <c r="F162" s="16"/>
      <c r="G162" s="23"/>
    </row>
    <row r="163" spans="1:7" s="42" customFormat="1" x14ac:dyDescent="0.2">
      <c r="A163" s="48"/>
      <c r="B163" s="71"/>
      <c r="C163" s="23"/>
      <c r="D163" s="24"/>
      <c r="E163" s="23"/>
      <c r="F163" s="16"/>
      <c r="G163" s="23"/>
    </row>
    <row r="164" spans="1:7" s="42" customFormat="1" x14ac:dyDescent="0.2">
      <c r="A164" s="48"/>
      <c r="B164" s="71"/>
      <c r="C164" s="23"/>
      <c r="D164" s="24"/>
      <c r="E164" s="23"/>
      <c r="F164" s="16"/>
      <c r="G164" s="23"/>
    </row>
    <row r="165" spans="1:7" s="42" customFormat="1" x14ac:dyDescent="0.2">
      <c r="A165" s="48"/>
      <c r="B165" s="71"/>
      <c r="C165" s="23"/>
      <c r="D165" s="24"/>
      <c r="E165" s="23"/>
      <c r="F165" s="16"/>
      <c r="G165" s="23"/>
    </row>
    <row r="166" spans="1:7" s="42" customFormat="1" x14ac:dyDescent="0.2">
      <c r="A166" s="48"/>
      <c r="B166" s="71"/>
      <c r="C166" s="23"/>
      <c r="D166" s="24"/>
      <c r="E166" s="23"/>
      <c r="F166" s="16"/>
      <c r="G166" s="23"/>
    </row>
    <row r="167" spans="1:7" s="42" customFormat="1" x14ac:dyDescent="0.2">
      <c r="A167" s="48"/>
      <c r="B167" s="71"/>
      <c r="G167" s="27"/>
    </row>
    <row r="168" spans="1:7" s="42" customFormat="1" x14ac:dyDescent="0.2">
      <c r="A168" s="48"/>
      <c r="B168" s="71"/>
      <c r="C168" s="2"/>
      <c r="D168" s="2"/>
      <c r="E168" s="2"/>
      <c r="F168" s="2"/>
      <c r="G168" s="280"/>
    </row>
    <row r="169" spans="1:7" s="42" customFormat="1" x14ac:dyDescent="0.2">
      <c r="A169" s="48"/>
      <c r="B169" s="71"/>
      <c r="C169" s="23"/>
      <c r="D169" s="23"/>
      <c r="E169" s="23"/>
      <c r="F169" s="25"/>
      <c r="G169" s="23"/>
    </row>
    <row r="170" spans="1:7" s="42" customFormat="1" x14ac:dyDescent="0.2">
      <c r="A170" s="48"/>
      <c r="B170" s="71"/>
      <c r="C170" s="23"/>
      <c r="D170" s="23"/>
      <c r="E170" s="23"/>
      <c r="F170" s="25"/>
      <c r="G170" s="23"/>
    </row>
    <row r="171" spans="1:7" s="42" customFormat="1" x14ac:dyDescent="0.2">
      <c r="A171" s="48"/>
      <c r="B171" s="71"/>
      <c r="C171" s="23"/>
      <c r="D171" s="23"/>
      <c r="E171" s="23"/>
      <c r="F171" s="25"/>
      <c r="G171" s="23"/>
    </row>
    <row r="172" spans="1:7" s="42" customFormat="1" x14ac:dyDescent="0.2">
      <c r="A172" s="48"/>
      <c r="B172" s="71"/>
      <c r="C172" s="23"/>
      <c r="D172" s="23"/>
      <c r="E172" s="23"/>
      <c r="F172" s="25"/>
      <c r="G172" s="23"/>
    </row>
    <row r="173" spans="1:7" s="42" customFormat="1" x14ac:dyDescent="0.2">
      <c r="A173" s="48"/>
      <c r="B173" s="71"/>
      <c r="C173" s="23"/>
      <c r="D173" s="23"/>
      <c r="E173" s="23"/>
      <c r="F173" s="25"/>
      <c r="G173" s="23"/>
    </row>
    <row r="174" spans="1:7" s="42" customFormat="1" x14ac:dyDescent="0.2">
      <c r="A174" s="48"/>
      <c r="B174" s="71"/>
      <c r="C174" s="23"/>
      <c r="D174" s="23"/>
      <c r="E174" s="23"/>
      <c r="F174" s="25"/>
      <c r="G174" s="23"/>
    </row>
    <row r="175" spans="1:7" s="42" customFormat="1" x14ac:dyDescent="0.2">
      <c r="A175" s="48"/>
      <c r="B175" s="71"/>
      <c r="C175" s="23"/>
      <c r="D175" s="23"/>
      <c r="E175" s="23"/>
      <c r="F175" s="25"/>
      <c r="G175" s="23"/>
    </row>
    <row r="176" spans="1:7" s="42" customFormat="1" x14ac:dyDescent="0.2">
      <c r="A176" s="48"/>
      <c r="B176" s="71"/>
      <c r="C176" s="23"/>
      <c r="D176" s="23"/>
      <c r="E176" s="23"/>
      <c r="F176" s="25"/>
      <c r="G176" s="23"/>
    </row>
    <row r="177" spans="1:7" s="42" customFormat="1" x14ac:dyDescent="0.2">
      <c r="A177" s="48"/>
      <c r="B177" s="71"/>
      <c r="C177" s="23"/>
      <c r="D177" s="23"/>
      <c r="E177" s="23"/>
      <c r="F177" s="25"/>
      <c r="G177" s="23"/>
    </row>
    <row r="178" spans="1:7" s="42" customFormat="1" x14ac:dyDescent="0.2">
      <c r="A178" s="48"/>
      <c r="B178" s="71"/>
      <c r="C178" s="23"/>
      <c r="D178" s="23"/>
      <c r="E178" s="23"/>
      <c r="F178" s="25"/>
      <c r="G178" s="23"/>
    </row>
    <row r="179" spans="1:7" s="42" customFormat="1" x14ac:dyDescent="0.2">
      <c r="A179" s="48"/>
      <c r="B179" s="71"/>
      <c r="G179" s="27"/>
    </row>
    <row r="180" spans="1:7" s="42" customFormat="1" x14ac:dyDescent="0.2">
      <c r="A180" s="48"/>
      <c r="B180" s="71"/>
      <c r="C180" s="2"/>
      <c r="D180" s="2"/>
      <c r="E180" s="2"/>
      <c r="F180" s="2"/>
      <c r="G180" s="280"/>
    </row>
    <row r="181" spans="1:7" s="42" customFormat="1" x14ac:dyDescent="0.2">
      <c r="A181" s="48"/>
      <c r="B181" s="71"/>
      <c r="C181" s="23"/>
      <c r="D181" s="23"/>
      <c r="E181" s="23"/>
      <c r="F181" s="25"/>
      <c r="G181" s="23"/>
    </row>
    <row r="182" spans="1:7" s="42" customFormat="1" x14ac:dyDescent="0.2">
      <c r="A182" s="48"/>
      <c r="B182" s="71"/>
      <c r="C182" s="23"/>
      <c r="D182" s="23"/>
      <c r="E182" s="23"/>
      <c r="F182" s="25"/>
      <c r="G182" s="23"/>
    </row>
    <row r="183" spans="1:7" s="42" customFormat="1" x14ac:dyDescent="0.2">
      <c r="A183" s="48"/>
      <c r="B183" s="71"/>
      <c r="C183" s="23"/>
      <c r="D183" s="23"/>
      <c r="E183" s="23"/>
      <c r="F183" s="25"/>
      <c r="G183" s="23"/>
    </row>
    <row r="184" spans="1:7" s="42" customFormat="1" x14ac:dyDescent="0.2">
      <c r="A184" s="48"/>
      <c r="B184" s="71"/>
      <c r="C184" s="23"/>
      <c r="D184" s="23"/>
      <c r="E184" s="23"/>
      <c r="F184" s="25"/>
      <c r="G184" s="23"/>
    </row>
    <row r="185" spans="1:7" s="42" customFormat="1" x14ac:dyDescent="0.2">
      <c r="A185" s="48"/>
      <c r="B185" s="71"/>
      <c r="C185" s="23"/>
      <c r="D185" s="23"/>
      <c r="E185" s="23"/>
      <c r="F185" s="25"/>
      <c r="G185" s="23"/>
    </row>
    <row r="186" spans="1:7" s="42" customFormat="1" x14ac:dyDescent="0.2">
      <c r="A186" s="48"/>
      <c r="B186" s="71"/>
      <c r="C186" s="23"/>
      <c r="D186" s="23"/>
      <c r="E186" s="23"/>
      <c r="F186" s="25"/>
      <c r="G186" s="23"/>
    </row>
    <row r="187" spans="1:7" s="42" customFormat="1" x14ac:dyDescent="0.2">
      <c r="A187" s="48"/>
      <c r="B187" s="71"/>
      <c r="C187" s="23"/>
      <c r="D187" s="23"/>
      <c r="E187" s="23"/>
      <c r="F187" s="25"/>
      <c r="G187" s="23"/>
    </row>
    <row r="188" spans="1:7" s="42" customFormat="1" x14ac:dyDescent="0.2">
      <c r="A188" s="48"/>
      <c r="B188" s="71"/>
      <c r="C188" s="23"/>
      <c r="D188" s="23"/>
      <c r="E188" s="23"/>
      <c r="F188" s="25"/>
      <c r="G188" s="23"/>
    </row>
    <row r="189" spans="1:7" s="42" customFormat="1" x14ac:dyDescent="0.2">
      <c r="A189" s="48"/>
      <c r="B189" s="71"/>
      <c r="C189" s="23"/>
      <c r="D189" s="23"/>
      <c r="E189" s="23"/>
      <c r="F189" s="25"/>
      <c r="G189" s="23"/>
    </row>
    <row r="190" spans="1:7" s="42" customFormat="1" x14ac:dyDescent="0.2">
      <c r="A190" s="48"/>
      <c r="B190" s="71"/>
      <c r="C190" s="23"/>
      <c r="D190" s="23"/>
      <c r="E190" s="23"/>
      <c r="F190" s="25"/>
      <c r="G190" s="23"/>
    </row>
    <row r="191" spans="1:7" s="42" customFormat="1" x14ac:dyDescent="0.2">
      <c r="A191" s="48"/>
      <c r="B191" s="71"/>
      <c r="G191" s="27"/>
    </row>
    <row r="192" spans="1:7" s="42" customFormat="1" x14ac:dyDescent="0.2">
      <c r="A192" s="48"/>
      <c r="B192" s="71"/>
      <c r="C192" s="2"/>
      <c r="D192" s="2"/>
      <c r="E192" s="2"/>
      <c r="F192" s="2"/>
      <c r="G192" s="280"/>
    </row>
    <row r="193" spans="1:7" s="42" customFormat="1" x14ac:dyDescent="0.2">
      <c r="A193" s="48"/>
      <c r="B193" s="71"/>
      <c r="C193" s="23"/>
      <c r="D193" s="23"/>
      <c r="E193" s="23"/>
      <c r="F193" s="25"/>
      <c r="G193" s="23"/>
    </row>
    <row r="194" spans="1:7" s="42" customFormat="1" x14ac:dyDescent="0.2">
      <c r="A194" s="48"/>
      <c r="B194" s="71"/>
      <c r="C194" s="23"/>
      <c r="D194" s="23"/>
      <c r="E194" s="23"/>
      <c r="F194" s="25"/>
      <c r="G194" s="23"/>
    </row>
    <row r="195" spans="1:7" s="42" customFormat="1" x14ac:dyDescent="0.2">
      <c r="A195" s="48"/>
      <c r="B195" s="71"/>
      <c r="C195" s="23"/>
      <c r="D195" s="23"/>
      <c r="E195" s="23"/>
      <c r="F195" s="25"/>
      <c r="G195" s="23"/>
    </row>
    <row r="196" spans="1:7" s="42" customFormat="1" x14ac:dyDescent="0.2">
      <c r="A196" s="48"/>
      <c r="B196" s="71"/>
      <c r="C196" s="23"/>
      <c r="D196" s="23"/>
      <c r="E196" s="23"/>
      <c r="F196" s="25"/>
      <c r="G196" s="23"/>
    </row>
    <row r="197" spans="1:7" s="42" customFormat="1" x14ac:dyDescent="0.2">
      <c r="A197" s="48"/>
      <c r="B197" s="71"/>
      <c r="C197" s="23"/>
      <c r="D197" s="23"/>
      <c r="E197" s="23"/>
      <c r="F197" s="25"/>
      <c r="G197" s="23"/>
    </row>
    <row r="198" spans="1:7" s="42" customFormat="1" x14ac:dyDescent="0.2">
      <c r="A198" s="48"/>
      <c r="B198" s="71"/>
      <c r="C198" s="23"/>
      <c r="D198" s="23"/>
      <c r="E198" s="23"/>
      <c r="F198" s="25"/>
      <c r="G198" s="23"/>
    </row>
    <row r="199" spans="1:7" s="42" customFormat="1" x14ac:dyDescent="0.2">
      <c r="A199" s="48"/>
      <c r="B199" s="71"/>
      <c r="C199" s="23"/>
      <c r="D199" s="23"/>
      <c r="E199" s="23"/>
      <c r="F199" s="25"/>
      <c r="G199" s="23"/>
    </row>
    <row r="200" spans="1:7" s="42" customFormat="1" x14ac:dyDescent="0.2">
      <c r="A200" s="48"/>
      <c r="B200" s="71"/>
      <c r="C200" s="23"/>
      <c r="D200" s="23"/>
      <c r="E200" s="23"/>
      <c r="F200" s="25"/>
      <c r="G200" s="23"/>
    </row>
    <row r="201" spans="1:7" s="42" customFormat="1" x14ac:dyDescent="0.2">
      <c r="A201" s="48"/>
      <c r="B201" s="71"/>
      <c r="C201" s="23"/>
      <c r="D201" s="23"/>
      <c r="E201" s="23"/>
      <c r="F201" s="25"/>
      <c r="G201" s="23"/>
    </row>
    <row r="202" spans="1:7" s="42" customFormat="1" x14ac:dyDescent="0.2">
      <c r="A202" s="48"/>
      <c r="B202" s="71"/>
      <c r="C202" s="23"/>
      <c r="D202" s="23"/>
      <c r="E202" s="23"/>
      <c r="F202" s="25"/>
      <c r="G202" s="23"/>
    </row>
    <row r="203" spans="1:7" s="42" customFormat="1" x14ac:dyDescent="0.2">
      <c r="A203" s="48"/>
      <c r="B203" s="71"/>
      <c r="G203" s="27"/>
    </row>
    <row r="204" spans="1:7" s="42" customFormat="1" x14ac:dyDescent="0.2">
      <c r="A204" s="48"/>
      <c r="B204" s="71"/>
      <c r="C204" s="2"/>
      <c r="D204" s="2"/>
      <c r="E204" s="2"/>
      <c r="F204" s="2"/>
      <c r="G204" s="280"/>
    </row>
    <row r="205" spans="1:7" s="42" customFormat="1" x14ac:dyDescent="0.2">
      <c r="A205" s="48"/>
      <c r="B205" s="71"/>
      <c r="C205" s="23"/>
      <c r="D205" s="23"/>
      <c r="E205" s="23"/>
      <c r="F205" s="16"/>
      <c r="G205" s="23"/>
    </row>
    <row r="206" spans="1:7" s="42" customFormat="1" x14ac:dyDescent="0.2">
      <c r="A206" s="48"/>
      <c r="B206" s="71"/>
      <c r="C206" s="23"/>
      <c r="D206" s="23"/>
      <c r="E206" s="23"/>
      <c r="F206" s="16"/>
      <c r="G206" s="23"/>
    </row>
    <row r="207" spans="1:7" s="42" customFormat="1" x14ac:dyDescent="0.2">
      <c r="A207" s="48"/>
      <c r="B207" s="71"/>
      <c r="C207" s="23"/>
      <c r="D207" s="23"/>
      <c r="E207" s="23"/>
      <c r="F207" s="16"/>
      <c r="G207" s="23"/>
    </row>
    <row r="208" spans="1:7" s="42" customFormat="1" x14ac:dyDescent="0.2">
      <c r="A208" s="48"/>
      <c r="B208" s="71"/>
      <c r="C208" s="23"/>
      <c r="D208" s="23"/>
      <c r="E208" s="23"/>
      <c r="F208" s="16"/>
      <c r="G208" s="23"/>
    </row>
    <row r="209" spans="1:7" s="42" customFormat="1" x14ac:dyDescent="0.2">
      <c r="A209" s="48"/>
      <c r="B209" s="71"/>
      <c r="C209" s="23"/>
      <c r="D209" s="23"/>
      <c r="E209" s="23"/>
      <c r="F209" s="16"/>
      <c r="G209" s="23"/>
    </row>
    <row r="210" spans="1:7" s="42" customFormat="1" x14ac:dyDescent="0.2">
      <c r="A210" s="48"/>
      <c r="B210" s="71"/>
      <c r="C210" s="23"/>
      <c r="D210" s="23"/>
      <c r="E210" s="23"/>
      <c r="F210" s="16"/>
      <c r="G210" s="23"/>
    </row>
    <row r="211" spans="1:7" s="42" customFormat="1" x14ac:dyDescent="0.2">
      <c r="A211" s="48"/>
      <c r="B211" s="71"/>
      <c r="C211" s="23"/>
      <c r="D211" s="23"/>
      <c r="E211" s="23"/>
      <c r="F211" s="16"/>
      <c r="G211" s="23"/>
    </row>
    <row r="212" spans="1:7" s="42" customFormat="1" x14ac:dyDescent="0.2">
      <c r="A212" s="48"/>
      <c r="B212" s="71"/>
      <c r="C212" s="23"/>
      <c r="D212" s="23"/>
      <c r="E212" s="23"/>
      <c r="F212" s="16"/>
      <c r="G212" s="23"/>
    </row>
    <row r="213" spans="1:7" s="42" customFormat="1" x14ac:dyDescent="0.2">
      <c r="A213" s="48"/>
      <c r="B213" s="71"/>
      <c r="C213" s="23"/>
      <c r="D213" s="23"/>
      <c r="E213" s="23"/>
      <c r="F213" s="16"/>
      <c r="G213" s="23"/>
    </row>
    <row r="214" spans="1:7" s="42" customFormat="1" x14ac:dyDescent="0.2">
      <c r="A214" s="48"/>
      <c r="B214" s="71"/>
      <c r="C214" s="23"/>
      <c r="D214" s="23"/>
      <c r="E214" s="23"/>
      <c r="F214" s="16"/>
      <c r="G214" s="23"/>
    </row>
    <row r="215" spans="1:7" s="42" customFormat="1" x14ac:dyDescent="0.2">
      <c r="A215" s="48"/>
      <c r="B215" s="71"/>
      <c r="G215" s="27"/>
    </row>
    <row r="216" spans="1:7" s="42" customFormat="1" x14ac:dyDescent="0.2">
      <c r="A216" s="48"/>
      <c r="B216" s="71"/>
      <c r="C216" s="2"/>
      <c r="D216" s="2"/>
      <c r="E216" s="2"/>
      <c r="F216" s="2"/>
      <c r="G216" s="280"/>
    </row>
    <row r="217" spans="1:7" s="42" customFormat="1" x14ac:dyDescent="0.2">
      <c r="A217" s="48"/>
      <c r="B217" s="71"/>
      <c r="C217" s="23"/>
      <c r="D217" s="24"/>
      <c r="E217" s="23"/>
      <c r="F217" s="16"/>
      <c r="G217" s="23"/>
    </row>
    <row r="218" spans="1:7" s="42" customFormat="1" x14ac:dyDescent="0.2">
      <c r="A218" s="48"/>
      <c r="B218" s="71"/>
      <c r="C218" s="23"/>
      <c r="D218" s="24"/>
      <c r="E218" s="23"/>
      <c r="F218" s="16"/>
      <c r="G218" s="23"/>
    </row>
    <row r="219" spans="1:7" s="42" customFormat="1" x14ac:dyDescent="0.2">
      <c r="A219" s="48"/>
      <c r="B219" s="71"/>
      <c r="C219" s="23"/>
      <c r="D219" s="24"/>
      <c r="E219" s="23"/>
      <c r="F219" s="16"/>
      <c r="G219" s="23"/>
    </row>
    <row r="220" spans="1:7" s="42" customFormat="1" x14ac:dyDescent="0.2">
      <c r="A220" s="48"/>
      <c r="B220" s="71"/>
      <c r="G220" s="27"/>
    </row>
    <row r="221" spans="1:7" s="42" customFormat="1" x14ac:dyDescent="0.2">
      <c r="A221" s="48"/>
      <c r="B221" s="71"/>
      <c r="C221" s="2"/>
      <c r="D221" s="2"/>
      <c r="E221" s="2"/>
      <c r="F221" s="2"/>
      <c r="G221" s="280"/>
    </row>
    <row r="222" spans="1:7" s="42" customFormat="1" x14ac:dyDescent="0.2">
      <c r="A222" s="48"/>
      <c r="B222" s="71"/>
      <c r="C222" s="23"/>
      <c r="D222" s="24"/>
      <c r="E222" s="23"/>
      <c r="F222" s="16"/>
      <c r="G222" s="23"/>
    </row>
    <row r="223" spans="1:7" s="42" customFormat="1" x14ac:dyDescent="0.2">
      <c r="A223" s="48"/>
      <c r="B223" s="71"/>
      <c r="C223" s="23"/>
      <c r="D223" s="24"/>
      <c r="E223" s="23"/>
      <c r="F223" s="16"/>
      <c r="G223" s="23"/>
    </row>
    <row r="224" spans="1:7" s="42" customFormat="1" x14ac:dyDescent="0.2">
      <c r="A224" s="48"/>
      <c r="B224" s="71"/>
      <c r="C224" s="23"/>
      <c r="D224" s="24"/>
      <c r="E224" s="23"/>
      <c r="F224" s="16"/>
      <c r="G224" s="23"/>
    </row>
    <row r="225" spans="1:7" s="42" customFormat="1" x14ac:dyDescent="0.2">
      <c r="A225" s="48"/>
      <c r="B225" s="71"/>
      <c r="G225" s="27"/>
    </row>
    <row r="226" spans="1:7" s="42" customFormat="1" x14ac:dyDescent="0.2">
      <c r="A226" s="48"/>
      <c r="B226" s="71"/>
      <c r="C226" s="2"/>
      <c r="D226" s="2"/>
      <c r="E226" s="2"/>
      <c r="F226" s="2"/>
      <c r="G226" s="280"/>
    </row>
    <row r="227" spans="1:7" s="42" customFormat="1" x14ac:dyDescent="0.2">
      <c r="A227" s="48"/>
      <c r="B227" s="71"/>
      <c r="C227" s="23"/>
      <c r="D227" s="16"/>
      <c r="E227" s="23"/>
      <c r="F227" s="16"/>
      <c r="G227" s="23"/>
    </row>
    <row r="228" spans="1:7" s="42" customFormat="1" x14ac:dyDescent="0.2">
      <c r="A228" s="48"/>
      <c r="B228" s="71"/>
      <c r="C228" s="23"/>
      <c r="D228" s="16"/>
      <c r="E228" s="23"/>
      <c r="F228" s="16"/>
      <c r="G228" s="23"/>
    </row>
    <row r="229" spans="1:7" s="42" customFormat="1" x14ac:dyDescent="0.2">
      <c r="A229" s="48"/>
      <c r="B229" s="71"/>
      <c r="C229" s="23"/>
      <c r="D229" s="16"/>
      <c r="E229" s="23"/>
      <c r="F229" s="16"/>
      <c r="G229" s="23"/>
    </row>
    <row r="230" spans="1:7" s="42" customFormat="1" x14ac:dyDescent="0.2">
      <c r="A230" s="48"/>
      <c r="B230" s="71"/>
      <c r="C230" s="23"/>
      <c r="D230" s="16"/>
      <c r="E230" s="23"/>
      <c r="F230" s="16"/>
      <c r="G230" s="23"/>
    </row>
    <row r="231" spans="1:7" s="42" customFormat="1" x14ac:dyDescent="0.2">
      <c r="A231" s="48"/>
      <c r="B231" s="71"/>
      <c r="C231" s="23"/>
      <c r="D231" s="16"/>
      <c r="E231" s="23"/>
      <c r="F231" s="16"/>
      <c r="G231" s="23"/>
    </row>
    <row r="232" spans="1:7" s="42" customFormat="1" x14ac:dyDescent="0.2">
      <c r="A232" s="48"/>
      <c r="B232" s="71"/>
      <c r="C232" s="23"/>
      <c r="D232" s="16"/>
      <c r="E232" s="23"/>
      <c r="F232" s="16"/>
      <c r="G232" s="23"/>
    </row>
    <row r="233" spans="1:7" s="42" customFormat="1" x14ac:dyDescent="0.2">
      <c r="A233" s="48"/>
      <c r="B233" s="71"/>
      <c r="C233" s="23"/>
      <c r="D233" s="16"/>
      <c r="E233" s="23"/>
      <c r="F233" s="16"/>
      <c r="G233" s="23"/>
    </row>
    <row r="234" spans="1:7" s="42" customFormat="1" x14ac:dyDescent="0.2">
      <c r="A234" s="48"/>
      <c r="B234" s="71"/>
      <c r="C234" s="23"/>
      <c r="D234" s="16"/>
      <c r="E234" s="23"/>
      <c r="F234" s="16"/>
      <c r="G234" s="23"/>
    </row>
    <row r="235" spans="1:7" s="42" customFormat="1" x14ac:dyDescent="0.2">
      <c r="A235" s="48"/>
      <c r="B235" s="71"/>
      <c r="C235" s="23"/>
      <c r="D235" s="16"/>
      <c r="E235" s="23"/>
      <c r="F235" s="16"/>
      <c r="G235" s="23"/>
    </row>
    <row r="236" spans="1:7" s="42" customFormat="1" x14ac:dyDescent="0.2">
      <c r="A236" s="48"/>
      <c r="B236" s="71"/>
      <c r="C236" s="23"/>
      <c r="D236" s="16"/>
      <c r="E236" s="23"/>
      <c r="F236" s="16"/>
      <c r="G236" s="23"/>
    </row>
    <row r="237" spans="1:7" s="42" customFormat="1" x14ac:dyDescent="0.2">
      <c r="B237" s="71"/>
      <c r="G237" s="27"/>
    </row>
    <row r="238" spans="1:7" s="42" customFormat="1" x14ac:dyDescent="0.2">
      <c r="A238" s="48"/>
      <c r="B238" s="71"/>
      <c r="C238" s="2"/>
      <c r="D238" s="2"/>
      <c r="E238" s="2"/>
      <c r="F238" s="2"/>
      <c r="G238" s="280"/>
    </row>
    <row r="239" spans="1:7" s="42" customFormat="1" x14ac:dyDescent="0.2">
      <c r="A239" s="48"/>
      <c r="B239" s="71"/>
      <c r="C239" s="23"/>
      <c r="D239" s="24"/>
      <c r="E239" s="23"/>
      <c r="F239" s="16"/>
      <c r="G239" s="23"/>
    </row>
    <row r="240" spans="1:7" s="42" customFormat="1" x14ac:dyDescent="0.2">
      <c r="A240" s="48"/>
      <c r="B240" s="71"/>
      <c r="C240" s="23"/>
      <c r="D240" s="24"/>
      <c r="E240" s="23"/>
      <c r="F240" s="16"/>
      <c r="G240" s="23"/>
    </row>
    <row r="241" spans="1:7" s="42" customFormat="1" x14ac:dyDescent="0.2">
      <c r="A241" s="48"/>
      <c r="B241" s="71"/>
      <c r="C241" s="23"/>
      <c r="D241" s="24"/>
      <c r="E241" s="23"/>
      <c r="F241" s="16"/>
      <c r="G241" s="23"/>
    </row>
    <row r="242" spans="1:7" s="42" customFormat="1" x14ac:dyDescent="0.2">
      <c r="A242" s="48"/>
      <c r="B242" s="71"/>
      <c r="C242" s="23"/>
      <c r="D242" s="24"/>
      <c r="E242" s="23"/>
      <c r="F242" s="16"/>
      <c r="G242" s="23"/>
    </row>
    <row r="243" spans="1:7" s="42" customFormat="1" x14ac:dyDescent="0.2">
      <c r="A243" s="48"/>
      <c r="B243" s="71"/>
      <c r="C243" s="23"/>
      <c r="D243" s="24"/>
      <c r="E243" s="23"/>
      <c r="F243" s="16"/>
      <c r="G243" s="23"/>
    </row>
    <row r="244" spans="1:7" s="42" customFormat="1" x14ac:dyDescent="0.2">
      <c r="A244" s="48"/>
      <c r="B244" s="71"/>
      <c r="C244" s="23"/>
      <c r="D244" s="24"/>
      <c r="E244" s="23"/>
      <c r="F244" s="16"/>
      <c r="G244" s="23"/>
    </row>
    <row r="245" spans="1:7" s="42" customFormat="1" x14ac:dyDescent="0.2">
      <c r="A245" s="48"/>
      <c r="B245" s="71"/>
      <c r="C245" s="23"/>
      <c r="D245" s="24"/>
      <c r="E245" s="23"/>
      <c r="F245" s="16"/>
      <c r="G245" s="23"/>
    </row>
    <row r="246" spans="1:7" s="42" customFormat="1" x14ac:dyDescent="0.2">
      <c r="A246" s="48"/>
      <c r="B246" s="71"/>
      <c r="C246" s="23"/>
      <c r="D246" s="24"/>
      <c r="E246" s="23"/>
      <c r="F246" s="16"/>
      <c r="G246" s="23"/>
    </row>
    <row r="247" spans="1:7" s="42" customFormat="1" x14ac:dyDescent="0.2">
      <c r="A247" s="48"/>
      <c r="B247" s="71"/>
      <c r="C247" s="23"/>
      <c r="D247" s="24"/>
      <c r="E247" s="23"/>
      <c r="F247" s="16"/>
      <c r="G247" s="23"/>
    </row>
    <row r="248" spans="1:7" s="42" customFormat="1" x14ac:dyDescent="0.2">
      <c r="A248" s="48"/>
      <c r="B248" s="71"/>
      <c r="C248" s="23"/>
      <c r="D248" s="24"/>
      <c r="E248" s="23"/>
      <c r="F248" s="16"/>
      <c r="G248" s="23"/>
    </row>
    <row r="249" spans="1:7" s="42" customFormat="1" x14ac:dyDescent="0.2">
      <c r="B249" s="71"/>
      <c r="G249" s="27"/>
    </row>
    <row r="250" spans="1:7" s="42" customFormat="1" x14ac:dyDescent="0.2">
      <c r="A250" s="48"/>
      <c r="B250" s="71"/>
      <c r="C250" s="2"/>
      <c r="D250" s="2"/>
      <c r="E250" s="2"/>
      <c r="F250" s="2"/>
      <c r="G250" s="280"/>
    </row>
    <row r="251" spans="1:7" s="42" customFormat="1" x14ac:dyDescent="0.2">
      <c r="A251" s="48"/>
      <c r="B251" s="71"/>
      <c r="C251" s="23"/>
      <c r="D251" s="24"/>
      <c r="E251" s="23"/>
      <c r="F251" s="16"/>
      <c r="G251" s="23"/>
    </row>
    <row r="252" spans="1:7" s="42" customFormat="1" x14ac:dyDescent="0.2">
      <c r="A252" s="48"/>
      <c r="B252" s="71"/>
      <c r="C252" s="23"/>
      <c r="D252" s="24"/>
      <c r="E252" s="23"/>
      <c r="F252" s="16"/>
      <c r="G252" s="23"/>
    </row>
    <row r="253" spans="1:7" s="42" customFormat="1" x14ac:dyDescent="0.2">
      <c r="A253" s="48"/>
      <c r="B253" s="71"/>
      <c r="C253" s="23"/>
      <c r="D253" s="24"/>
      <c r="E253" s="23"/>
      <c r="F253" s="16"/>
      <c r="G253" s="23"/>
    </row>
    <row r="254" spans="1:7" s="42" customFormat="1" x14ac:dyDescent="0.2">
      <c r="A254" s="48"/>
      <c r="B254" s="71"/>
      <c r="C254" s="23"/>
      <c r="D254" s="24"/>
      <c r="E254" s="23"/>
      <c r="F254" s="16"/>
      <c r="G254" s="23"/>
    </row>
    <row r="255" spans="1:7" s="42" customFormat="1" x14ac:dyDescent="0.2">
      <c r="A255" s="48"/>
      <c r="B255" s="71"/>
      <c r="C255" s="23"/>
      <c r="D255" s="24"/>
      <c r="E255" s="23"/>
      <c r="F255" s="16"/>
      <c r="G255" s="23"/>
    </row>
    <row r="256" spans="1:7" s="42" customFormat="1" x14ac:dyDescent="0.2">
      <c r="A256" s="48"/>
      <c r="B256" s="71"/>
      <c r="C256" s="23"/>
      <c r="D256" s="24"/>
      <c r="E256" s="23"/>
      <c r="F256" s="16"/>
      <c r="G256" s="23"/>
    </row>
    <row r="257" spans="1:7" s="42" customFormat="1" x14ac:dyDescent="0.2">
      <c r="A257" s="48"/>
      <c r="B257" s="71"/>
      <c r="C257" s="23"/>
      <c r="D257" s="24"/>
      <c r="E257" s="23"/>
      <c r="F257" s="16"/>
      <c r="G257" s="23"/>
    </row>
    <row r="258" spans="1:7" s="42" customFormat="1" x14ac:dyDescent="0.2">
      <c r="A258" s="48"/>
      <c r="B258" s="71"/>
      <c r="C258" s="23"/>
      <c r="D258" s="24"/>
      <c r="E258" s="23"/>
      <c r="F258" s="16"/>
      <c r="G258" s="23"/>
    </row>
    <row r="259" spans="1:7" s="42" customFormat="1" x14ac:dyDescent="0.2">
      <c r="A259" s="48"/>
      <c r="B259" s="71"/>
      <c r="C259" s="23"/>
      <c r="D259" s="24"/>
      <c r="E259" s="23"/>
      <c r="F259" s="16"/>
      <c r="G259" s="23"/>
    </row>
    <row r="260" spans="1:7" s="42" customFormat="1" x14ac:dyDescent="0.2">
      <c r="A260" s="48"/>
      <c r="B260" s="71"/>
      <c r="C260" s="23"/>
      <c r="D260" s="24"/>
      <c r="E260" s="23"/>
      <c r="F260" s="16"/>
      <c r="G260" s="23"/>
    </row>
    <row r="261" spans="1:7" s="42" customFormat="1" x14ac:dyDescent="0.2">
      <c r="B261" s="71"/>
      <c r="G261" s="27"/>
    </row>
    <row r="262" spans="1:7" s="42" customFormat="1" x14ac:dyDescent="0.2">
      <c r="A262" s="48"/>
      <c r="B262" s="71"/>
      <c r="C262" s="2"/>
      <c r="D262" s="2"/>
      <c r="E262" s="2"/>
      <c r="F262" s="2"/>
      <c r="G262" s="280"/>
    </row>
    <row r="263" spans="1:7" s="42" customFormat="1" x14ac:dyDescent="0.2">
      <c r="A263" s="48"/>
      <c r="B263" s="71"/>
      <c r="C263" s="23"/>
      <c r="D263" s="24"/>
      <c r="E263" s="23"/>
      <c r="F263" s="16"/>
      <c r="G263" s="23"/>
    </row>
    <row r="264" spans="1:7" s="42" customFormat="1" x14ac:dyDescent="0.2">
      <c r="A264" s="48"/>
      <c r="B264" s="71"/>
      <c r="C264" s="23"/>
      <c r="D264" s="24"/>
      <c r="E264" s="23"/>
      <c r="F264" s="16"/>
      <c r="G264" s="23"/>
    </row>
    <row r="265" spans="1:7" s="42" customFormat="1" x14ac:dyDescent="0.2">
      <c r="A265" s="48"/>
      <c r="B265" s="71"/>
      <c r="C265" s="23"/>
      <c r="D265" s="24"/>
      <c r="E265" s="23"/>
      <c r="F265" s="16"/>
      <c r="G265" s="23"/>
    </row>
    <row r="266" spans="1:7" s="42" customFormat="1" x14ac:dyDescent="0.2">
      <c r="B266" s="71"/>
      <c r="G266" s="27"/>
    </row>
    <row r="267" spans="1:7" s="42" customFormat="1" x14ac:dyDescent="0.2">
      <c r="A267" s="48"/>
      <c r="B267" s="71"/>
      <c r="C267" s="2"/>
      <c r="D267" s="2"/>
      <c r="E267" s="2"/>
      <c r="F267" s="2"/>
      <c r="G267" s="280"/>
    </row>
    <row r="268" spans="1:7" s="42" customFormat="1" x14ac:dyDescent="0.2">
      <c r="A268" s="48"/>
      <c r="B268" s="71"/>
      <c r="C268" s="23"/>
      <c r="D268" s="24"/>
      <c r="E268" s="23"/>
      <c r="F268" s="16"/>
      <c r="G268" s="23"/>
    </row>
    <row r="269" spans="1:7" s="42" customFormat="1" x14ac:dyDescent="0.2">
      <c r="A269" s="48"/>
      <c r="B269" s="71"/>
      <c r="C269" s="23"/>
      <c r="D269" s="24"/>
      <c r="E269" s="23"/>
      <c r="F269" s="16"/>
      <c r="G269" s="23"/>
    </row>
    <row r="270" spans="1:7" s="42" customFormat="1" x14ac:dyDescent="0.2">
      <c r="A270" s="48"/>
      <c r="B270" s="71"/>
      <c r="C270" s="23"/>
      <c r="D270" s="24"/>
      <c r="E270" s="23"/>
      <c r="F270" s="16"/>
      <c r="G270" s="23"/>
    </row>
    <row r="271" spans="1:7" s="42" customFormat="1" x14ac:dyDescent="0.2">
      <c r="B271" s="71"/>
      <c r="G271" s="27"/>
    </row>
    <row r="272" spans="1:7" s="42" customFormat="1" x14ac:dyDescent="0.2">
      <c r="A272" s="48"/>
      <c r="B272" s="71"/>
      <c r="C272" s="2"/>
      <c r="D272" s="2"/>
      <c r="E272" s="2"/>
      <c r="F272" s="2"/>
      <c r="G272" s="280"/>
    </row>
    <row r="273" spans="1:7" s="42" customFormat="1" x14ac:dyDescent="0.2">
      <c r="A273" s="48"/>
      <c r="B273" s="71"/>
      <c r="C273" s="23"/>
      <c r="D273" s="24"/>
      <c r="E273" s="23"/>
      <c r="F273" s="16"/>
      <c r="G273" s="23"/>
    </row>
    <row r="274" spans="1:7" s="42" customFormat="1" x14ac:dyDescent="0.2">
      <c r="A274" s="48"/>
      <c r="B274" s="71"/>
      <c r="C274" s="23"/>
      <c r="D274" s="24"/>
      <c r="E274" s="23"/>
      <c r="F274" s="16"/>
      <c r="G274" s="23"/>
    </row>
    <row r="275" spans="1:7" s="42" customFormat="1" x14ac:dyDescent="0.2">
      <c r="A275" s="48"/>
      <c r="B275" s="71"/>
      <c r="C275" s="23"/>
      <c r="D275" s="24"/>
      <c r="E275" s="23"/>
      <c r="F275" s="16"/>
      <c r="G275" s="23"/>
    </row>
    <row r="276" spans="1:7" s="42" customFormat="1" x14ac:dyDescent="0.2">
      <c r="A276" s="48"/>
      <c r="B276" s="71"/>
      <c r="C276" s="23"/>
      <c r="D276" s="24"/>
      <c r="E276" s="23"/>
      <c r="F276" s="16"/>
      <c r="G276" s="23"/>
    </row>
    <row r="277" spans="1:7" s="42" customFormat="1" x14ac:dyDescent="0.2">
      <c r="A277" s="48"/>
      <c r="B277" s="71"/>
      <c r="C277" s="23"/>
      <c r="D277" s="24"/>
      <c r="E277" s="23"/>
      <c r="F277" s="16"/>
      <c r="G277" s="23"/>
    </row>
    <row r="278" spans="1:7" s="42" customFormat="1" x14ac:dyDescent="0.2">
      <c r="A278" s="48"/>
      <c r="B278" s="71"/>
      <c r="C278" s="23"/>
      <c r="D278" s="24"/>
      <c r="E278" s="23"/>
      <c r="F278" s="16"/>
      <c r="G278" s="23"/>
    </row>
    <row r="279" spans="1:7" s="42" customFormat="1" x14ac:dyDescent="0.2">
      <c r="A279" s="48"/>
      <c r="B279" s="71"/>
      <c r="C279" s="23"/>
      <c r="D279" s="24"/>
      <c r="E279" s="23"/>
      <c r="F279" s="16"/>
      <c r="G279" s="23"/>
    </row>
    <row r="280" spans="1:7" s="42" customFormat="1" x14ac:dyDescent="0.2">
      <c r="A280" s="48"/>
      <c r="B280" s="71"/>
      <c r="C280" s="23"/>
      <c r="D280" s="24"/>
      <c r="E280" s="23"/>
      <c r="F280" s="16"/>
      <c r="G280" s="23"/>
    </row>
    <row r="281" spans="1:7" s="42" customFormat="1" x14ac:dyDescent="0.2">
      <c r="A281" s="48"/>
      <c r="B281" s="71"/>
      <c r="C281" s="23"/>
      <c r="D281" s="24"/>
      <c r="E281" s="23"/>
      <c r="F281" s="16"/>
      <c r="G281" s="23"/>
    </row>
    <row r="282" spans="1:7" s="42" customFormat="1" x14ac:dyDescent="0.2">
      <c r="A282" s="48"/>
      <c r="B282" s="71"/>
      <c r="C282" s="23"/>
      <c r="D282" s="24"/>
      <c r="E282" s="23"/>
      <c r="F282" s="16"/>
      <c r="G282" s="23"/>
    </row>
    <row r="283" spans="1:7" s="42" customFormat="1" x14ac:dyDescent="0.2">
      <c r="B283" s="71"/>
      <c r="G283" s="27"/>
    </row>
    <row r="284" spans="1:7" s="42" customFormat="1" x14ac:dyDescent="0.2">
      <c r="A284" s="48"/>
      <c r="B284" s="71"/>
      <c r="C284" s="2"/>
      <c r="D284" s="2"/>
      <c r="E284" s="2"/>
      <c r="F284" s="2"/>
      <c r="G284" s="280"/>
    </row>
    <row r="285" spans="1:7" s="42" customFormat="1" x14ac:dyDescent="0.2">
      <c r="A285" s="48"/>
      <c r="B285" s="71"/>
      <c r="C285" s="23"/>
      <c r="D285" s="23"/>
      <c r="E285" s="23"/>
      <c r="F285" s="16"/>
      <c r="G285" s="23"/>
    </row>
    <row r="286" spans="1:7" s="42" customFormat="1" x14ac:dyDescent="0.2">
      <c r="A286" s="48"/>
      <c r="B286" s="71"/>
      <c r="C286" s="23"/>
      <c r="D286" s="23"/>
      <c r="E286" s="23"/>
      <c r="F286" s="16"/>
      <c r="G286" s="23"/>
    </row>
    <row r="287" spans="1:7" s="42" customFormat="1" x14ac:dyDescent="0.2">
      <c r="A287" s="48"/>
      <c r="B287" s="71"/>
      <c r="C287" s="23"/>
      <c r="D287" s="23"/>
      <c r="E287" s="23"/>
      <c r="F287" s="16"/>
      <c r="G287" s="23"/>
    </row>
    <row r="288" spans="1:7" s="42" customFormat="1" x14ac:dyDescent="0.2">
      <c r="A288" s="48"/>
      <c r="B288" s="71"/>
      <c r="C288" s="23"/>
      <c r="D288" s="23"/>
      <c r="E288" s="23"/>
      <c r="F288" s="16"/>
      <c r="G288" s="23"/>
    </row>
    <row r="289" spans="1:7" x14ac:dyDescent="0.2">
      <c r="A289" s="6"/>
      <c r="C289" s="8"/>
      <c r="D289" s="8"/>
      <c r="E289" s="8"/>
      <c r="F289" s="9"/>
      <c r="G289" s="8"/>
    </row>
    <row r="290" spans="1:7" x14ac:dyDescent="0.2">
      <c r="A290" s="6"/>
      <c r="C290" s="8"/>
      <c r="D290" s="8"/>
      <c r="E290" s="8"/>
      <c r="F290" s="9"/>
      <c r="G290" s="8"/>
    </row>
    <row r="291" spans="1:7" x14ac:dyDescent="0.2">
      <c r="A291" s="6"/>
      <c r="C291" s="8"/>
      <c r="D291" s="8"/>
      <c r="E291" s="8"/>
      <c r="F291" s="9"/>
      <c r="G291" s="8"/>
    </row>
    <row r="292" spans="1:7" x14ac:dyDescent="0.2">
      <c r="A292" s="6"/>
      <c r="C292" s="8"/>
      <c r="D292" s="8"/>
      <c r="E292" s="8"/>
      <c r="F292" s="9"/>
      <c r="G292" s="8"/>
    </row>
    <row r="293" spans="1:7" x14ac:dyDescent="0.2">
      <c r="A293" s="6"/>
      <c r="C293" s="8"/>
      <c r="D293" s="8"/>
      <c r="E293" s="8"/>
      <c r="F293" s="9"/>
      <c r="G293" s="8"/>
    </row>
    <row r="294" spans="1:7" x14ac:dyDescent="0.2">
      <c r="A294" s="6"/>
      <c r="C294" s="8"/>
      <c r="D294" s="8"/>
      <c r="E294" s="8"/>
      <c r="F294" s="9"/>
      <c r="G294" s="8"/>
    </row>
    <row r="296" spans="1:7" x14ac:dyDescent="0.2">
      <c r="A296" s="6"/>
      <c r="C296" s="2"/>
      <c r="D296" s="2"/>
      <c r="E296" s="2"/>
      <c r="F296" s="2"/>
      <c r="G296" s="280"/>
    </row>
    <row r="297" spans="1:7" x14ac:dyDescent="0.2">
      <c r="A297" s="6"/>
      <c r="C297" s="8"/>
      <c r="D297" s="8"/>
      <c r="E297" s="8"/>
      <c r="F297" s="9"/>
      <c r="G297" s="8"/>
    </row>
    <row r="298" spans="1:7" x14ac:dyDescent="0.2">
      <c r="A298" s="6"/>
      <c r="C298" s="8"/>
      <c r="D298" s="8"/>
      <c r="E298" s="8"/>
      <c r="F298" s="9"/>
      <c r="G298" s="8"/>
    </row>
    <row r="299" spans="1:7" x14ac:dyDescent="0.2">
      <c r="A299" s="6"/>
      <c r="C299" s="8"/>
      <c r="D299" s="8"/>
      <c r="E299" s="8"/>
      <c r="F299" s="9"/>
      <c r="G299" s="8"/>
    </row>
    <row r="300" spans="1:7" x14ac:dyDescent="0.2">
      <c r="A300" s="6"/>
      <c r="C300" s="8"/>
      <c r="D300" s="8"/>
      <c r="E300" s="8"/>
      <c r="F300" s="9"/>
      <c r="G300" s="8"/>
    </row>
    <row r="301" spans="1:7" x14ac:dyDescent="0.2">
      <c r="A301" s="6"/>
      <c r="C301" s="8"/>
      <c r="D301" s="8"/>
      <c r="E301" s="8"/>
      <c r="F301" s="9"/>
      <c r="G301" s="8"/>
    </row>
    <row r="302" spans="1:7" x14ac:dyDescent="0.2">
      <c r="A302" s="6"/>
      <c r="C302" s="8"/>
      <c r="D302" s="8"/>
      <c r="E302" s="8"/>
      <c r="F302" s="9"/>
      <c r="G302" s="8"/>
    </row>
    <row r="303" spans="1:7" x14ac:dyDescent="0.2">
      <c r="A303" s="6"/>
      <c r="C303" s="8"/>
      <c r="D303" s="8"/>
      <c r="E303" s="8"/>
      <c r="F303" s="9"/>
      <c r="G303" s="8"/>
    </row>
    <row r="304" spans="1:7" x14ac:dyDescent="0.2">
      <c r="A304" s="6"/>
      <c r="C304" s="8"/>
      <c r="D304" s="8"/>
      <c r="E304" s="8"/>
      <c r="F304" s="9"/>
      <c r="G304" s="8"/>
    </row>
    <row r="305" spans="1:7" x14ac:dyDescent="0.2">
      <c r="A305" s="6"/>
      <c r="C305" s="8"/>
      <c r="D305" s="8"/>
      <c r="E305" s="8"/>
      <c r="F305" s="9"/>
      <c r="G305" s="8"/>
    </row>
    <row r="306" spans="1:7" x14ac:dyDescent="0.2">
      <c r="A306" s="6"/>
      <c r="C306" s="8"/>
      <c r="D306" s="8"/>
      <c r="E306" s="8"/>
      <c r="F306" s="9"/>
      <c r="G306" s="8"/>
    </row>
    <row r="308" spans="1:7" x14ac:dyDescent="0.2">
      <c r="A308" s="6"/>
      <c r="C308" s="2"/>
      <c r="D308" s="2"/>
      <c r="E308" s="2"/>
      <c r="F308" s="2"/>
      <c r="G308" s="280"/>
    </row>
    <row r="309" spans="1:7" x14ac:dyDescent="0.2">
      <c r="A309" s="6"/>
      <c r="C309" s="8"/>
      <c r="D309" s="8"/>
      <c r="E309" s="8"/>
      <c r="F309" s="9"/>
      <c r="G309" s="8"/>
    </row>
    <row r="310" spans="1:7" x14ac:dyDescent="0.2">
      <c r="A310" s="6"/>
      <c r="C310" s="8"/>
      <c r="D310" s="8"/>
      <c r="E310" s="8"/>
      <c r="F310" s="9"/>
      <c r="G310" s="8"/>
    </row>
    <row r="311" spans="1:7" x14ac:dyDescent="0.2">
      <c r="A311" s="6"/>
      <c r="C311" s="8"/>
      <c r="D311" s="8"/>
      <c r="E311" s="8"/>
      <c r="F311" s="9"/>
      <c r="G311" s="8"/>
    </row>
    <row r="312" spans="1:7" x14ac:dyDescent="0.2">
      <c r="A312" s="6"/>
      <c r="C312" s="8"/>
      <c r="D312" s="8"/>
      <c r="E312" s="8"/>
      <c r="F312" s="9"/>
      <c r="G312" s="8"/>
    </row>
    <row r="313" spans="1:7" x14ac:dyDescent="0.2">
      <c r="A313" s="6"/>
      <c r="C313" s="8"/>
      <c r="D313" s="8"/>
      <c r="E313" s="8"/>
      <c r="F313" s="9"/>
      <c r="G313" s="8"/>
    </row>
    <row r="314" spans="1:7" x14ac:dyDescent="0.2">
      <c r="A314" s="6"/>
      <c r="C314" s="8"/>
      <c r="D314" s="8"/>
      <c r="E314" s="8"/>
      <c r="F314" s="9"/>
      <c r="G314" s="8"/>
    </row>
    <row r="315" spans="1:7" x14ac:dyDescent="0.2">
      <c r="A315" s="6"/>
      <c r="C315" s="8"/>
      <c r="D315" s="8"/>
      <c r="E315" s="8"/>
      <c r="F315" s="9"/>
      <c r="G315" s="8"/>
    </row>
    <row r="316" spans="1:7" x14ac:dyDescent="0.2">
      <c r="A316" s="6"/>
      <c r="C316" s="8"/>
      <c r="D316" s="8"/>
      <c r="E316" s="8"/>
      <c r="F316" s="9"/>
      <c r="G316" s="8"/>
    </row>
    <row r="317" spans="1:7" x14ac:dyDescent="0.2">
      <c r="A317" s="6"/>
      <c r="C317" s="8"/>
      <c r="D317" s="8"/>
      <c r="E317" s="8"/>
      <c r="F317" s="9"/>
      <c r="G317" s="8"/>
    </row>
    <row r="318" spans="1:7" x14ac:dyDescent="0.2">
      <c r="A318" s="6"/>
      <c r="C318" s="8"/>
      <c r="D318" s="8"/>
      <c r="E318" s="8"/>
      <c r="F318" s="9"/>
      <c r="G318" s="8"/>
    </row>
    <row r="320" spans="1:7" x14ac:dyDescent="0.2">
      <c r="A320" s="6"/>
      <c r="C320" s="2"/>
      <c r="D320" s="2"/>
      <c r="E320" s="2"/>
      <c r="F320" s="2"/>
      <c r="G320" s="280"/>
    </row>
    <row r="321" spans="1:7" x14ac:dyDescent="0.2">
      <c r="A321" s="6"/>
      <c r="C321" s="8"/>
      <c r="D321" s="8"/>
      <c r="E321" s="8"/>
      <c r="F321" s="9"/>
      <c r="G321" s="8"/>
    </row>
    <row r="322" spans="1:7" x14ac:dyDescent="0.2">
      <c r="A322" s="6"/>
      <c r="C322" s="8"/>
      <c r="D322" s="8"/>
      <c r="E322" s="8"/>
      <c r="F322" s="9"/>
      <c r="G322" s="8"/>
    </row>
    <row r="323" spans="1:7" x14ac:dyDescent="0.2">
      <c r="A323" s="6"/>
      <c r="C323" s="8"/>
      <c r="D323" s="8"/>
      <c r="E323" s="8"/>
      <c r="F323" s="9"/>
      <c r="G323" s="8"/>
    </row>
    <row r="324" spans="1:7" x14ac:dyDescent="0.2">
      <c r="A324" s="6"/>
      <c r="C324" s="8"/>
      <c r="D324" s="8"/>
      <c r="E324" s="8"/>
      <c r="F324" s="9"/>
      <c r="G324" s="8"/>
    </row>
    <row r="325" spans="1:7" x14ac:dyDescent="0.2">
      <c r="A325" s="6"/>
      <c r="C325" s="8"/>
      <c r="D325" s="8"/>
      <c r="E325" s="8"/>
      <c r="F325" s="9"/>
      <c r="G325" s="8"/>
    </row>
    <row r="326" spans="1:7" x14ac:dyDescent="0.2">
      <c r="A326" s="6"/>
      <c r="C326" s="8"/>
      <c r="D326" s="8"/>
      <c r="E326" s="8"/>
      <c r="F326" s="9"/>
      <c r="G326" s="8"/>
    </row>
    <row r="327" spans="1:7" x14ac:dyDescent="0.2">
      <c r="A327" s="6"/>
      <c r="C327" s="8"/>
      <c r="D327" s="8"/>
      <c r="E327" s="8"/>
      <c r="F327" s="9"/>
      <c r="G327" s="8"/>
    </row>
    <row r="328" spans="1:7" x14ac:dyDescent="0.2">
      <c r="A328" s="6"/>
      <c r="C328" s="8"/>
      <c r="D328" s="8"/>
      <c r="E328" s="8"/>
      <c r="F328" s="9"/>
      <c r="G328" s="8"/>
    </row>
    <row r="329" spans="1:7" x14ac:dyDescent="0.2">
      <c r="A329" s="6"/>
      <c r="C329" s="8"/>
      <c r="D329" s="8"/>
      <c r="E329" s="8"/>
      <c r="F329" s="9"/>
      <c r="G329" s="8"/>
    </row>
    <row r="330" spans="1:7" x14ac:dyDescent="0.2">
      <c r="A330" s="6"/>
      <c r="C330" s="8"/>
      <c r="D330" s="8"/>
      <c r="E330" s="8"/>
      <c r="F330" s="9"/>
      <c r="G330" s="8"/>
    </row>
    <row r="332" spans="1:7" x14ac:dyDescent="0.2">
      <c r="A332" s="6"/>
      <c r="C332" s="2"/>
      <c r="D332" s="2"/>
      <c r="E332" s="2"/>
      <c r="F332" s="2"/>
      <c r="G332" s="280"/>
    </row>
    <row r="333" spans="1:7" x14ac:dyDescent="0.2">
      <c r="A333" s="6"/>
      <c r="C333" s="8"/>
      <c r="D333" s="8"/>
      <c r="E333" s="8"/>
      <c r="F333" s="9"/>
      <c r="G333" s="8"/>
    </row>
    <row r="334" spans="1:7" x14ac:dyDescent="0.2">
      <c r="A334" s="6"/>
      <c r="C334" s="8"/>
      <c r="D334" s="8"/>
      <c r="E334" s="8"/>
      <c r="F334" s="9"/>
      <c r="G334" s="8"/>
    </row>
    <row r="335" spans="1:7" x14ac:dyDescent="0.2">
      <c r="A335" s="6"/>
      <c r="C335" s="8"/>
      <c r="D335" s="8"/>
      <c r="E335" s="8"/>
      <c r="F335" s="9"/>
      <c r="G335" s="8"/>
    </row>
    <row r="336" spans="1:7" x14ac:dyDescent="0.2">
      <c r="A336" s="6"/>
      <c r="C336" s="8"/>
      <c r="D336" s="8"/>
      <c r="E336" s="8"/>
      <c r="F336" s="9"/>
      <c r="G336" s="8"/>
    </row>
    <row r="337" spans="1:7" x14ac:dyDescent="0.2">
      <c r="A337" s="6"/>
      <c r="C337" s="8"/>
      <c r="D337" s="8"/>
      <c r="E337" s="8"/>
      <c r="F337" s="9"/>
      <c r="G337" s="8"/>
    </row>
    <row r="338" spans="1:7" x14ac:dyDescent="0.2">
      <c r="A338" s="6"/>
      <c r="C338" s="8"/>
      <c r="D338" s="8"/>
      <c r="E338" s="8"/>
      <c r="F338" s="9"/>
      <c r="G338" s="8"/>
    </row>
    <row r="339" spans="1:7" x14ac:dyDescent="0.2">
      <c r="A339" s="6"/>
      <c r="C339" s="8"/>
      <c r="D339" s="8"/>
      <c r="E339" s="8"/>
      <c r="F339" s="9"/>
      <c r="G339" s="8"/>
    </row>
    <row r="340" spans="1:7" x14ac:dyDescent="0.2">
      <c r="A340" s="6"/>
      <c r="C340" s="8"/>
      <c r="D340" s="8"/>
      <c r="E340" s="8"/>
      <c r="F340" s="9"/>
      <c r="G340" s="8"/>
    </row>
    <row r="341" spans="1:7" x14ac:dyDescent="0.2">
      <c r="A341" s="6"/>
      <c r="C341" s="8"/>
      <c r="D341" s="8"/>
      <c r="E341" s="8"/>
      <c r="F341" s="9"/>
      <c r="G341" s="8"/>
    </row>
    <row r="342" spans="1:7" x14ac:dyDescent="0.2">
      <c r="A342" s="6"/>
      <c r="C342" s="8"/>
      <c r="D342" s="8"/>
      <c r="E342" s="8"/>
      <c r="F342" s="9"/>
      <c r="G342" s="8"/>
    </row>
    <row r="344" spans="1:7" x14ac:dyDescent="0.2">
      <c r="A344" s="6"/>
      <c r="C344" s="2"/>
      <c r="D344" s="2"/>
      <c r="E344" s="2"/>
      <c r="F344" s="2"/>
      <c r="G344" s="280"/>
    </row>
    <row r="345" spans="1:7" x14ac:dyDescent="0.2">
      <c r="A345" s="6"/>
      <c r="C345" s="8"/>
      <c r="D345" s="8"/>
      <c r="E345" s="8"/>
      <c r="F345" s="9"/>
      <c r="G345" s="8"/>
    </row>
    <row r="346" spans="1:7" x14ac:dyDescent="0.2">
      <c r="A346" s="6"/>
      <c r="C346" s="8"/>
      <c r="D346" s="8"/>
      <c r="E346" s="8"/>
      <c r="F346" s="9"/>
      <c r="G346" s="8"/>
    </row>
    <row r="347" spans="1:7" x14ac:dyDescent="0.2">
      <c r="A347" s="6"/>
      <c r="C347" s="8"/>
      <c r="D347" s="8"/>
      <c r="E347" s="8"/>
      <c r="F347" s="9"/>
      <c r="G347" s="8"/>
    </row>
    <row r="348" spans="1:7" x14ac:dyDescent="0.2">
      <c r="A348" s="6"/>
      <c r="C348" s="8"/>
      <c r="D348" s="8"/>
      <c r="E348" s="8"/>
      <c r="F348" s="9"/>
      <c r="G348" s="8"/>
    </row>
    <row r="349" spans="1:7" x14ac:dyDescent="0.2">
      <c r="A349" s="6"/>
      <c r="C349" s="8"/>
      <c r="D349" s="8"/>
      <c r="E349" s="8"/>
      <c r="F349" s="9"/>
      <c r="G349" s="8"/>
    </row>
    <row r="350" spans="1:7" x14ac:dyDescent="0.2">
      <c r="A350" s="6"/>
      <c r="C350" s="8"/>
      <c r="D350" s="8"/>
      <c r="E350" s="8"/>
      <c r="F350" s="9"/>
      <c r="G350" s="8"/>
    </row>
    <row r="351" spans="1:7" x14ac:dyDescent="0.2">
      <c r="A351" s="6"/>
      <c r="C351" s="8"/>
      <c r="D351" s="8"/>
      <c r="E351" s="8"/>
      <c r="F351" s="9"/>
      <c r="G351" s="8"/>
    </row>
    <row r="352" spans="1:7" x14ac:dyDescent="0.2">
      <c r="A352" s="6"/>
      <c r="C352" s="8"/>
      <c r="D352" s="8"/>
      <c r="E352" s="8"/>
      <c r="F352" s="9"/>
      <c r="G352" s="8"/>
    </row>
    <row r="353" spans="1:7" x14ac:dyDescent="0.2">
      <c r="A353" s="6"/>
      <c r="C353" s="8"/>
      <c r="D353" s="8"/>
      <c r="E353" s="8"/>
      <c r="F353" s="9"/>
      <c r="G353" s="8"/>
    </row>
    <row r="354" spans="1:7" x14ac:dyDescent="0.2">
      <c r="A354" s="6"/>
      <c r="C354" s="8"/>
      <c r="D354" s="8"/>
      <c r="E354" s="8"/>
      <c r="F354" s="9"/>
      <c r="G354" s="8"/>
    </row>
    <row r="356" spans="1:7" x14ac:dyDescent="0.2">
      <c r="A356" s="6"/>
      <c r="C356" s="2"/>
      <c r="D356" s="2"/>
      <c r="E356" s="2"/>
      <c r="F356" s="2"/>
      <c r="G356" s="280"/>
    </row>
    <row r="357" spans="1:7" x14ac:dyDescent="0.2">
      <c r="A357" s="6"/>
      <c r="C357" s="8"/>
      <c r="D357" s="12"/>
      <c r="E357" s="8"/>
      <c r="F357" s="9"/>
      <c r="G357" s="8"/>
    </row>
    <row r="358" spans="1:7" x14ac:dyDescent="0.2">
      <c r="A358" s="6"/>
      <c r="C358" s="8"/>
      <c r="D358" s="12"/>
      <c r="E358" s="8"/>
      <c r="F358" s="9"/>
      <c r="G358" s="8"/>
    </row>
    <row r="359" spans="1:7" x14ac:dyDescent="0.2">
      <c r="A359" s="6"/>
      <c r="C359" s="8"/>
      <c r="D359" s="12"/>
      <c r="E359" s="8"/>
      <c r="F359" s="9"/>
      <c r="G359" s="8"/>
    </row>
    <row r="360" spans="1:7" x14ac:dyDescent="0.2">
      <c r="A360" s="6"/>
      <c r="C360" s="8"/>
      <c r="D360" s="12"/>
      <c r="E360" s="8"/>
      <c r="F360" s="9"/>
      <c r="G360" s="8"/>
    </row>
    <row r="361" spans="1:7" x14ac:dyDescent="0.2">
      <c r="A361" s="6"/>
      <c r="C361" s="8"/>
      <c r="D361" s="12"/>
      <c r="E361" s="8"/>
      <c r="F361" s="9"/>
      <c r="G361" s="8"/>
    </row>
    <row r="362" spans="1:7" x14ac:dyDescent="0.2">
      <c r="A362" s="6"/>
      <c r="C362" s="8"/>
      <c r="D362" s="12"/>
      <c r="E362" s="8"/>
      <c r="F362" s="9"/>
      <c r="G362" s="8"/>
    </row>
    <row r="363" spans="1:7" x14ac:dyDescent="0.2">
      <c r="A363" s="6"/>
      <c r="C363" s="8"/>
      <c r="D363" s="12"/>
      <c r="E363" s="8"/>
      <c r="F363" s="9"/>
      <c r="G363" s="8"/>
    </row>
    <row r="364" spans="1:7" x14ac:dyDescent="0.2">
      <c r="A364" s="6"/>
      <c r="C364" s="8"/>
      <c r="D364" s="12"/>
      <c r="E364" s="8"/>
      <c r="F364" s="9"/>
      <c r="G364" s="8"/>
    </row>
    <row r="365" spans="1:7" x14ac:dyDescent="0.2">
      <c r="A365" s="6"/>
      <c r="C365" s="8"/>
      <c r="D365" s="12"/>
      <c r="E365" s="8"/>
      <c r="F365" s="9"/>
      <c r="G365" s="8"/>
    </row>
    <row r="366" spans="1:7" x14ac:dyDescent="0.2">
      <c r="A366" s="6"/>
      <c r="C366" s="8"/>
      <c r="D366" s="12"/>
      <c r="E366" s="8"/>
      <c r="F366" s="9"/>
      <c r="G366" s="8"/>
    </row>
    <row r="368" spans="1:7" x14ac:dyDescent="0.2">
      <c r="A368" s="6"/>
      <c r="C368" s="2"/>
      <c r="D368" s="2"/>
      <c r="E368" s="2"/>
      <c r="F368" s="2"/>
      <c r="G368" s="280"/>
    </row>
    <row r="369" spans="1:7" x14ac:dyDescent="0.2">
      <c r="A369" s="6"/>
      <c r="C369" s="8"/>
      <c r="D369" s="12"/>
      <c r="E369" s="8"/>
      <c r="F369" s="9"/>
      <c r="G369" s="8"/>
    </row>
    <row r="370" spans="1:7" x14ac:dyDescent="0.2">
      <c r="A370" s="6"/>
      <c r="C370" s="8"/>
      <c r="D370" s="12"/>
      <c r="E370" s="8"/>
      <c r="F370" s="9"/>
      <c r="G370" s="8"/>
    </row>
    <row r="371" spans="1:7" x14ac:dyDescent="0.2">
      <c r="A371" s="6"/>
      <c r="C371" s="8"/>
      <c r="D371" s="12"/>
      <c r="E371" s="8"/>
      <c r="F371" s="9"/>
      <c r="G371" s="8"/>
    </row>
    <row r="372" spans="1:7" x14ac:dyDescent="0.2">
      <c r="A372" s="6"/>
      <c r="C372" s="8"/>
      <c r="D372" s="12"/>
      <c r="E372" s="8"/>
      <c r="F372" s="9"/>
      <c r="G372" s="8"/>
    </row>
    <row r="373" spans="1:7" x14ac:dyDescent="0.2">
      <c r="A373" s="6"/>
      <c r="C373" s="8"/>
      <c r="D373" s="12"/>
      <c r="E373" s="8"/>
      <c r="F373" s="9"/>
      <c r="G373" s="8"/>
    </row>
    <row r="374" spans="1:7" x14ac:dyDescent="0.2">
      <c r="A374" s="6"/>
      <c r="C374" s="8"/>
      <c r="D374" s="12"/>
      <c r="E374" s="8"/>
      <c r="F374" s="9"/>
      <c r="G374" s="8"/>
    </row>
    <row r="375" spans="1:7" x14ac:dyDescent="0.2">
      <c r="A375" s="6"/>
      <c r="C375" s="8"/>
      <c r="D375" s="12"/>
      <c r="E375" s="8"/>
      <c r="F375" s="9"/>
      <c r="G375" s="8"/>
    </row>
    <row r="376" spans="1:7" x14ac:dyDescent="0.2">
      <c r="A376" s="6"/>
      <c r="C376" s="8"/>
      <c r="D376" s="12"/>
      <c r="E376" s="8"/>
      <c r="F376" s="9"/>
      <c r="G376" s="8"/>
    </row>
    <row r="377" spans="1:7" x14ac:dyDescent="0.2">
      <c r="A377" s="6"/>
      <c r="C377" s="8"/>
      <c r="D377" s="12"/>
      <c r="E377" s="8"/>
      <c r="F377" s="9"/>
      <c r="G377" s="8"/>
    </row>
    <row r="378" spans="1:7" x14ac:dyDescent="0.2">
      <c r="A378" s="6"/>
      <c r="C378" s="8"/>
      <c r="D378" s="12"/>
      <c r="E378" s="8"/>
      <c r="F378" s="9"/>
      <c r="G378" s="8"/>
    </row>
    <row r="380" spans="1:7" x14ac:dyDescent="0.2">
      <c r="A380" s="6"/>
      <c r="C380" s="2"/>
      <c r="D380" s="2"/>
      <c r="E380" s="2"/>
      <c r="F380" s="2"/>
      <c r="G380" s="280"/>
    </row>
    <row r="381" spans="1:7" x14ac:dyDescent="0.2">
      <c r="A381" s="6"/>
      <c r="C381" s="8"/>
      <c r="D381" s="12"/>
      <c r="E381" s="8"/>
      <c r="F381" s="9"/>
      <c r="G381" s="8"/>
    </row>
    <row r="382" spans="1:7" x14ac:dyDescent="0.2">
      <c r="A382" s="6"/>
      <c r="C382" s="8"/>
      <c r="D382" s="12"/>
      <c r="E382" s="8"/>
      <c r="F382" s="9"/>
      <c r="G382" s="8"/>
    </row>
    <row r="383" spans="1:7" x14ac:dyDescent="0.2">
      <c r="A383" s="6"/>
      <c r="C383" s="8"/>
      <c r="D383" s="12"/>
      <c r="E383" s="8"/>
      <c r="F383" s="9"/>
      <c r="G383" s="8"/>
    </row>
    <row r="384" spans="1:7" x14ac:dyDescent="0.2">
      <c r="A384" s="6"/>
      <c r="C384" s="8"/>
      <c r="D384" s="12"/>
      <c r="E384" s="8"/>
      <c r="F384" s="9"/>
      <c r="G384" s="8"/>
    </row>
    <row r="385" spans="1:7" x14ac:dyDescent="0.2">
      <c r="A385" s="6"/>
      <c r="C385" s="8"/>
      <c r="D385" s="12"/>
      <c r="E385" s="8"/>
      <c r="F385" s="9"/>
      <c r="G385" s="8"/>
    </row>
    <row r="386" spans="1:7" x14ac:dyDescent="0.2">
      <c r="A386" s="6"/>
      <c r="C386" s="8"/>
      <c r="D386" s="12"/>
      <c r="E386" s="8"/>
      <c r="F386" s="9"/>
      <c r="G386" s="8"/>
    </row>
    <row r="387" spans="1:7" x14ac:dyDescent="0.2">
      <c r="A387" s="6"/>
      <c r="C387" s="8"/>
      <c r="D387" s="12"/>
      <c r="E387" s="8"/>
      <c r="F387" s="9"/>
      <c r="G387" s="8"/>
    </row>
    <row r="388" spans="1:7" x14ac:dyDescent="0.2">
      <c r="A388" s="6"/>
      <c r="C388" s="8"/>
      <c r="D388" s="12"/>
      <c r="E388" s="8"/>
      <c r="F388" s="9"/>
      <c r="G388" s="8"/>
    </row>
    <row r="389" spans="1:7" x14ac:dyDescent="0.2">
      <c r="A389" s="6"/>
      <c r="C389" s="8"/>
      <c r="D389" s="12"/>
      <c r="E389" s="8"/>
      <c r="F389" s="9"/>
      <c r="G389" s="8"/>
    </row>
    <row r="390" spans="1:7" x14ac:dyDescent="0.2">
      <c r="A390" s="6"/>
      <c r="C390" s="8"/>
      <c r="D390" s="12"/>
      <c r="E390" s="8"/>
      <c r="F390" s="9"/>
      <c r="G390" s="8"/>
    </row>
    <row r="392" spans="1:7" x14ac:dyDescent="0.2">
      <c r="A392" s="6"/>
      <c r="C392" s="2"/>
      <c r="D392" s="2"/>
      <c r="E392" s="2"/>
      <c r="F392" s="2"/>
      <c r="G392" s="280"/>
    </row>
    <row r="393" spans="1:7" x14ac:dyDescent="0.2">
      <c r="A393" s="6"/>
      <c r="C393" s="8"/>
      <c r="D393" s="12"/>
      <c r="E393" s="8"/>
      <c r="F393" s="9"/>
      <c r="G393" s="8"/>
    </row>
    <row r="394" spans="1:7" x14ac:dyDescent="0.2">
      <c r="A394" s="6"/>
      <c r="C394" s="8"/>
      <c r="D394" s="12"/>
      <c r="E394" s="8"/>
      <c r="F394" s="9"/>
      <c r="G394" s="8"/>
    </row>
    <row r="395" spans="1:7" x14ac:dyDescent="0.2">
      <c r="A395" s="6"/>
      <c r="C395" s="8"/>
      <c r="D395" s="12"/>
      <c r="E395" s="8"/>
      <c r="F395" s="9"/>
      <c r="G395" s="8"/>
    </row>
    <row r="396" spans="1:7" x14ac:dyDescent="0.2">
      <c r="A396" s="6"/>
      <c r="C396" s="8"/>
      <c r="D396" s="12"/>
      <c r="E396" s="8"/>
      <c r="F396" s="9"/>
      <c r="G396" s="8"/>
    </row>
    <row r="397" spans="1:7" x14ac:dyDescent="0.2">
      <c r="A397" s="6"/>
      <c r="C397" s="8"/>
      <c r="D397" s="12"/>
      <c r="E397" s="8"/>
      <c r="F397" s="9"/>
      <c r="G397" s="8"/>
    </row>
    <row r="398" spans="1:7" x14ac:dyDescent="0.2">
      <c r="A398" s="6"/>
      <c r="C398" s="8"/>
      <c r="D398" s="12"/>
      <c r="E398" s="8"/>
      <c r="F398" s="9"/>
      <c r="G398" s="8"/>
    </row>
    <row r="399" spans="1:7" x14ac:dyDescent="0.2">
      <c r="A399" s="6"/>
      <c r="C399" s="8"/>
      <c r="D399" s="12"/>
      <c r="E399" s="8"/>
      <c r="F399" s="9"/>
      <c r="G399" s="8"/>
    </row>
    <row r="400" spans="1:7" x14ac:dyDescent="0.2">
      <c r="A400" s="6"/>
      <c r="C400" s="8"/>
      <c r="D400" s="12"/>
      <c r="E400" s="8"/>
      <c r="F400" s="9"/>
      <c r="G400" s="8"/>
    </row>
    <row r="401" spans="1:7" x14ac:dyDescent="0.2">
      <c r="A401" s="6"/>
      <c r="C401" s="8"/>
      <c r="D401" s="12"/>
      <c r="E401" s="8"/>
      <c r="F401" s="9"/>
      <c r="G401" s="8"/>
    </row>
    <row r="402" spans="1:7" x14ac:dyDescent="0.2">
      <c r="A402" s="6"/>
      <c r="C402" s="8"/>
      <c r="D402" s="12"/>
      <c r="E402" s="8"/>
      <c r="F402" s="9"/>
      <c r="G402" s="8"/>
    </row>
    <row r="404" spans="1:7" x14ac:dyDescent="0.2">
      <c r="A404" s="6"/>
      <c r="C404" s="2"/>
      <c r="D404" s="2"/>
      <c r="E404" s="2"/>
      <c r="F404" s="2"/>
      <c r="G404" s="280"/>
    </row>
    <row r="405" spans="1:7" x14ac:dyDescent="0.2">
      <c r="A405" s="6"/>
      <c r="C405" s="8"/>
      <c r="D405" s="12"/>
      <c r="E405" s="8"/>
      <c r="F405" s="9"/>
      <c r="G405" s="8"/>
    </row>
    <row r="406" spans="1:7" x14ac:dyDescent="0.2">
      <c r="A406" s="6"/>
      <c r="C406" s="8"/>
      <c r="D406" s="12"/>
      <c r="E406" s="8"/>
      <c r="F406" s="9"/>
      <c r="G406" s="8"/>
    </row>
    <row r="407" spans="1:7" x14ac:dyDescent="0.2">
      <c r="A407" s="6"/>
      <c r="C407" s="8"/>
      <c r="D407" s="12"/>
      <c r="E407" s="8"/>
      <c r="F407" s="9"/>
      <c r="G407" s="8"/>
    </row>
    <row r="409" spans="1:7" x14ac:dyDescent="0.2">
      <c r="A409" s="6"/>
      <c r="C409" s="2"/>
      <c r="D409" s="2"/>
      <c r="E409" s="2"/>
      <c r="F409" s="2"/>
      <c r="G409" s="280"/>
    </row>
    <row r="410" spans="1:7" x14ac:dyDescent="0.2">
      <c r="A410" s="6"/>
      <c r="C410" s="8"/>
      <c r="D410" s="12"/>
      <c r="E410" s="8"/>
      <c r="F410" s="9"/>
      <c r="G410" s="8"/>
    </row>
    <row r="411" spans="1:7" x14ac:dyDescent="0.2">
      <c r="A411" s="6"/>
      <c r="C411" s="8"/>
      <c r="D411" s="12"/>
      <c r="E411" s="8"/>
      <c r="F411" s="9"/>
      <c r="G411" s="8"/>
    </row>
    <row r="412" spans="1:7" x14ac:dyDescent="0.2">
      <c r="A412" s="6"/>
      <c r="C412" s="8"/>
      <c r="D412" s="12"/>
      <c r="E412" s="8"/>
      <c r="F412" s="9"/>
      <c r="G412" s="8"/>
    </row>
    <row r="413" spans="1:7" x14ac:dyDescent="0.2">
      <c r="A413" s="6"/>
      <c r="C413" s="8"/>
      <c r="D413" s="12"/>
      <c r="E413" s="8"/>
      <c r="F413" s="9"/>
      <c r="G413" s="8"/>
    </row>
    <row r="414" spans="1:7" x14ac:dyDescent="0.2">
      <c r="A414" s="6"/>
      <c r="C414" s="8"/>
      <c r="D414" s="12"/>
      <c r="E414" s="8"/>
      <c r="F414" s="9"/>
      <c r="G414" s="8"/>
    </row>
    <row r="415" spans="1:7" x14ac:dyDescent="0.2">
      <c r="A415" s="6"/>
      <c r="C415" s="8"/>
      <c r="D415" s="12"/>
      <c r="E415" s="8"/>
      <c r="F415" s="9"/>
      <c r="G415" s="8"/>
    </row>
    <row r="416" spans="1:7" x14ac:dyDescent="0.2">
      <c r="A416" s="6"/>
      <c r="C416" s="8"/>
      <c r="D416" s="12"/>
      <c r="E416" s="8"/>
      <c r="F416" s="9"/>
      <c r="G416" s="8"/>
    </row>
    <row r="417" spans="1:7" x14ac:dyDescent="0.2">
      <c r="A417" s="6"/>
      <c r="C417" s="8"/>
      <c r="D417" s="12"/>
      <c r="E417" s="8"/>
      <c r="F417" s="9"/>
      <c r="G417" s="8"/>
    </row>
    <row r="419" spans="1:7" x14ac:dyDescent="0.2">
      <c r="A419" s="6"/>
      <c r="C419" s="2"/>
      <c r="D419" s="2"/>
      <c r="E419" s="2"/>
      <c r="F419" s="2"/>
      <c r="G419" s="280"/>
    </row>
    <row r="420" spans="1:7" x14ac:dyDescent="0.2">
      <c r="A420" s="6"/>
      <c r="C420" s="8"/>
      <c r="D420" s="12"/>
      <c r="E420" s="8"/>
      <c r="F420" s="9"/>
      <c r="G420" s="8"/>
    </row>
    <row r="421" spans="1:7" x14ac:dyDescent="0.2">
      <c r="A421" s="6"/>
      <c r="C421" s="8"/>
      <c r="D421" s="12"/>
      <c r="E421" s="8"/>
      <c r="F421" s="9"/>
      <c r="G421" s="8"/>
    </row>
    <row r="422" spans="1:7" x14ac:dyDescent="0.2">
      <c r="A422" s="6"/>
      <c r="C422" s="8"/>
      <c r="D422" s="12"/>
      <c r="E422" s="8"/>
      <c r="F422" s="9"/>
      <c r="G422" s="8"/>
    </row>
    <row r="423" spans="1:7" x14ac:dyDescent="0.2">
      <c r="A423" s="6"/>
      <c r="C423" s="8"/>
      <c r="D423" s="12"/>
      <c r="E423" s="8"/>
      <c r="F423" s="9"/>
      <c r="G423" s="8"/>
    </row>
    <row r="424" spans="1:7" x14ac:dyDescent="0.2">
      <c r="A424" s="6"/>
      <c r="C424" s="8"/>
      <c r="D424" s="12"/>
      <c r="E424" s="8"/>
      <c r="F424" s="9"/>
      <c r="G424" s="8"/>
    </row>
    <row r="425" spans="1:7" x14ac:dyDescent="0.2">
      <c r="A425" s="6"/>
      <c r="C425" s="8"/>
      <c r="D425" s="12"/>
      <c r="E425" s="8"/>
      <c r="F425" s="9"/>
      <c r="G425" s="8"/>
    </row>
    <row r="426" spans="1:7" x14ac:dyDescent="0.2">
      <c r="A426" s="6"/>
      <c r="C426" s="8"/>
      <c r="D426" s="12"/>
      <c r="E426" s="8"/>
      <c r="F426" s="9"/>
      <c r="G426" s="8"/>
    </row>
    <row r="427" spans="1:7" x14ac:dyDescent="0.2">
      <c r="A427" s="6"/>
      <c r="C427" s="8"/>
      <c r="D427" s="12"/>
      <c r="E427" s="8"/>
      <c r="F427" s="9"/>
      <c r="G427" s="8"/>
    </row>
    <row r="429" spans="1:7" x14ac:dyDescent="0.2">
      <c r="A429" s="6"/>
      <c r="C429" s="2"/>
      <c r="D429" s="2"/>
      <c r="E429" s="2"/>
      <c r="F429" s="2"/>
      <c r="G429" s="280"/>
    </row>
    <row r="430" spans="1:7" x14ac:dyDescent="0.2">
      <c r="A430" s="6"/>
      <c r="C430" s="8"/>
      <c r="D430" s="12"/>
      <c r="E430" s="8"/>
      <c r="F430" s="9"/>
      <c r="G430" s="8"/>
    </row>
    <row r="431" spans="1:7" x14ac:dyDescent="0.2">
      <c r="A431" s="6"/>
      <c r="C431" s="8"/>
      <c r="D431" s="12"/>
      <c r="E431" s="8"/>
      <c r="F431" s="9"/>
      <c r="G431" s="8"/>
    </row>
    <row r="432" spans="1:7" x14ac:dyDescent="0.2">
      <c r="A432" s="6"/>
      <c r="C432" s="8"/>
      <c r="D432" s="12"/>
      <c r="E432" s="8"/>
      <c r="F432" s="9"/>
      <c r="G432" s="8"/>
    </row>
    <row r="433" spans="1:7" x14ac:dyDescent="0.2">
      <c r="A433" s="6"/>
      <c r="C433" s="8"/>
      <c r="D433" s="12"/>
      <c r="E433" s="8"/>
      <c r="F433" s="9"/>
      <c r="G433" s="8"/>
    </row>
    <row r="434" spans="1:7" x14ac:dyDescent="0.2">
      <c r="A434" s="6"/>
      <c r="C434" s="8"/>
      <c r="D434" s="12"/>
      <c r="E434" s="8"/>
      <c r="F434" s="9"/>
      <c r="G434" s="8"/>
    </row>
    <row r="435" spans="1:7" x14ac:dyDescent="0.2">
      <c r="A435" s="6"/>
      <c r="C435" s="8"/>
      <c r="D435" s="12"/>
      <c r="E435" s="8"/>
      <c r="F435" s="9"/>
      <c r="G435" s="8"/>
    </row>
    <row r="436" spans="1:7" x14ac:dyDescent="0.2">
      <c r="A436" s="6"/>
      <c r="C436" s="8"/>
      <c r="D436" s="12"/>
      <c r="E436" s="8"/>
      <c r="F436" s="9"/>
      <c r="G436" s="8"/>
    </row>
    <row r="437" spans="1:7" x14ac:dyDescent="0.2">
      <c r="A437" s="6"/>
      <c r="C437" s="8"/>
      <c r="D437" s="12"/>
      <c r="E437" s="8"/>
      <c r="F437" s="9"/>
      <c r="G437" s="8"/>
    </row>
    <row r="438" spans="1:7" x14ac:dyDescent="0.2">
      <c r="A438" s="6"/>
      <c r="C438" s="8"/>
      <c r="D438" s="12"/>
      <c r="E438" s="8"/>
      <c r="F438" s="9"/>
      <c r="G438" s="8"/>
    </row>
    <row r="439" spans="1:7" x14ac:dyDescent="0.2">
      <c r="A439" s="6"/>
      <c r="C439" s="8"/>
      <c r="D439" s="12"/>
      <c r="E439" s="8"/>
      <c r="F439" s="9"/>
      <c r="G439" s="8"/>
    </row>
    <row r="441" spans="1:7" x14ac:dyDescent="0.2">
      <c r="A441" s="6"/>
      <c r="C441" s="2"/>
      <c r="D441" s="2"/>
      <c r="E441" s="2"/>
      <c r="F441" s="2"/>
      <c r="G441" s="280"/>
    </row>
    <row r="442" spans="1:7" x14ac:dyDescent="0.2">
      <c r="A442" s="6"/>
      <c r="C442" s="8"/>
      <c r="D442" s="12"/>
      <c r="E442" s="8"/>
      <c r="F442" s="9"/>
      <c r="G442" s="8"/>
    </row>
    <row r="443" spans="1:7" x14ac:dyDescent="0.2">
      <c r="A443" s="6"/>
      <c r="C443" s="8"/>
      <c r="D443" s="12"/>
      <c r="E443" s="8"/>
      <c r="F443" s="9"/>
      <c r="G443" s="8"/>
    </row>
    <row r="444" spans="1:7" x14ac:dyDescent="0.2">
      <c r="A444" s="6"/>
      <c r="C444" s="8"/>
      <c r="D444" s="12"/>
      <c r="E444" s="8"/>
      <c r="F444" s="9"/>
      <c r="G444" s="8"/>
    </row>
    <row r="445" spans="1:7" x14ac:dyDescent="0.2">
      <c r="A445" s="6"/>
      <c r="C445" s="8"/>
      <c r="D445" s="12"/>
      <c r="E445" s="8"/>
      <c r="F445" s="9"/>
      <c r="G445" s="8"/>
    </row>
    <row r="446" spans="1:7" x14ac:dyDescent="0.2">
      <c r="A446" s="6"/>
      <c r="C446" s="8"/>
      <c r="D446" s="12"/>
      <c r="E446" s="8"/>
      <c r="F446" s="9"/>
      <c r="G446" s="8"/>
    </row>
    <row r="447" spans="1:7" x14ac:dyDescent="0.2">
      <c r="A447" s="6"/>
      <c r="C447" s="8"/>
      <c r="D447" s="12"/>
      <c r="E447" s="8"/>
      <c r="F447" s="9"/>
      <c r="G447" s="8"/>
    </row>
    <row r="448" spans="1:7" x14ac:dyDescent="0.2">
      <c r="A448" s="6"/>
      <c r="C448" s="8"/>
      <c r="D448" s="12"/>
      <c r="E448" s="8"/>
      <c r="F448" s="9"/>
      <c r="G448" s="8"/>
    </row>
    <row r="449" spans="1:7" x14ac:dyDescent="0.2">
      <c r="A449" s="6"/>
      <c r="C449" s="8"/>
      <c r="D449" s="12"/>
      <c r="E449" s="8"/>
      <c r="F449" s="9"/>
      <c r="G449" s="8"/>
    </row>
    <row r="450" spans="1:7" x14ac:dyDescent="0.2">
      <c r="A450" s="6"/>
      <c r="C450" s="8"/>
      <c r="D450" s="12"/>
      <c r="E450" s="8"/>
      <c r="F450" s="9"/>
      <c r="G450" s="8"/>
    </row>
    <row r="451" spans="1:7" x14ac:dyDescent="0.2">
      <c r="A451" s="6"/>
      <c r="C451" s="8"/>
      <c r="D451" s="12"/>
      <c r="E451" s="8"/>
      <c r="F451" s="9"/>
      <c r="G451" s="8"/>
    </row>
    <row r="453" spans="1:7" x14ac:dyDescent="0.2">
      <c r="A453" s="6"/>
      <c r="C453" s="2"/>
      <c r="D453" s="2"/>
      <c r="E453" s="2"/>
      <c r="F453" s="2"/>
      <c r="G453" s="280"/>
    </row>
    <row r="454" spans="1:7" x14ac:dyDescent="0.2">
      <c r="A454" s="6"/>
      <c r="C454" s="8"/>
      <c r="D454" s="12"/>
      <c r="E454" s="8"/>
      <c r="F454" s="9"/>
      <c r="G454" s="8"/>
    </row>
    <row r="455" spans="1:7" x14ac:dyDescent="0.2">
      <c r="A455" s="6"/>
      <c r="C455" s="8"/>
      <c r="D455" s="12"/>
      <c r="E455" s="8"/>
      <c r="F455" s="9"/>
      <c r="G455" s="8"/>
    </row>
    <row r="456" spans="1:7" x14ac:dyDescent="0.2">
      <c r="A456" s="6"/>
      <c r="C456" s="8"/>
      <c r="D456" s="12"/>
      <c r="E456" s="8"/>
      <c r="F456" s="9"/>
      <c r="G456" s="8"/>
    </row>
    <row r="457" spans="1:7" x14ac:dyDescent="0.2">
      <c r="A457" s="6"/>
      <c r="C457" s="8"/>
      <c r="D457" s="12"/>
      <c r="E457" s="8"/>
      <c r="F457" s="9"/>
      <c r="G457" s="8"/>
    </row>
    <row r="458" spans="1:7" x14ac:dyDescent="0.2">
      <c r="A458" s="6"/>
      <c r="C458" s="8"/>
      <c r="D458" s="12"/>
      <c r="E458" s="8"/>
      <c r="F458" s="9"/>
      <c r="G458" s="8"/>
    </row>
    <row r="459" spans="1:7" x14ac:dyDescent="0.2">
      <c r="A459" s="6"/>
      <c r="C459" s="8"/>
      <c r="D459" s="12"/>
      <c r="E459" s="8"/>
      <c r="F459" s="9"/>
      <c r="G459" s="8"/>
    </row>
    <row r="460" spans="1:7" x14ac:dyDescent="0.2">
      <c r="A460" s="6"/>
      <c r="C460" s="8"/>
      <c r="D460" s="12"/>
      <c r="E460" s="8"/>
      <c r="F460" s="9"/>
      <c r="G460" s="8"/>
    </row>
    <row r="461" spans="1:7" x14ac:dyDescent="0.2">
      <c r="A461" s="6"/>
      <c r="C461" s="8"/>
      <c r="D461" s="12"/>
      <c r="E461" s="8"/>
      <c r="F461" s="9"/>
      <c r="G461" s="8"/>
    </row>
    <row r="462" spans="1:7" x14ac:dyDescent="0.2">
      <c r="A462" s="6"/>
      <c r="C462" s="8"/>
      <c r="D462" s="12"/>
      <c r="E462" s="8"/>
      <c r="F462" s="9"/>
      <c r="G462" s="8"/>
    </row>
    <row r="463" spans="1:7" x14ac:dyDescent="0.2">
      <c r="A463" s="6"/>
      <c r="C463" s="8"/>
      <c r="D463" s="12"/>
      <c r="E463" s="8"/>
      <c r="F463" s="9"/>
      <c r="G463" s="8"/>
    </row>
    <row r="465" spans="1:7" x14ac:dyDescent="0.2">
      <c r="A465" s="6"/>
      <c r="C465" s="2"/>
      <c r="D465" s="2"/>
      <c r="E465" s="2"/>
      <c r="F465" s="2"/>
      <c r="G465" s="280"/>
    </row>
    <row r="466" spans="1:7" x14ac:dyDescent="0.2">
      <c r="A466" s="6"/>
      <c r="C466" s="8"/>
      <c r="D466" s="12"/>
      <c r="E466" s="8"/>
      <c r="F466" s="9"/>
      <c r="G466" s="8"/>
    </row>
    <row r="467" spans="1:7" x14ac:dyDescent="0.2">
      <c r="A467" s="6"/>
      <c r="C467" s="8"/>
      <c r="D467" s="12"/>
      <c r="E467" s="8"/>
      <c r="F467" s="9"/>
      <c r="G467" s="8"/>
    </row>
    <row r="468" spans="1:7" x14ac:dyDescent="0.2">
      <c r="A468" s="6"/>
      <c r="C468" s="8"/>
      <c r="D468" s="12"/>
      <c r="E468" s="8"/>
      <c r="F468" s="9"/>
      <c r="G468" s="8"/>
    </row>
    <row r="469" spans="1:7" x14ac:dyDescent="0.2">
      <c r="A469" s="6"/>
      <c r="C469" s="8"/>
      <c r="D469" s="12"/>
      <c r="E469" s="8"/>
      <c r="F469" s="9"/>
      <c r="G469" s="8"/>
    </row>
    <row r="470" spans="1:7" x14ac:dyDescent="0.2">
      <c r="A470" s="6"/>
      <c r="C470" s="8"/>
      <c r="D470" s="12"/>
      <c r="E470" s="8"/>
      <c r="F470" s="9"/>
      <c r="G470" s="8"/>
    </row>
    <row r="471" spans="1:7" x14ac:dyDescent="0.2">
      <c r="A471" s="6"/>
      <c r="C471" s="8"/>
      <c r="D471" s="12"/>
      <c r="E471" s="8"/>
      <c r="F471" s="9"/>
      <c r="G471" s="8"/>
    </row>
    <row r="472" spans="1:7" x14ac:dyDescent="0.2">
      <c r="A472" s="6"/>
      <c r="C472" s="8"/>
      <c r="D472" s="12"/>
      <c r="E472" s="8"/>
      <c r="F472" s="9"/>
      <c r="G472" s="8"/>
    </row>
    <row r="473" spans="1:7" x14ac:dyDescent="0.2">
      <c r="A473" s="6"/>
      <c r="C473" s="8"/>
      <c r="D473" s="12"/>
      <c r="E473" s="8"/>
      <c r="F473" s="9"/>
      <c r="G473" s="8"/>
    </row>
    <row r="474" spans="1:7" x14ac:dyDescent="0.2">
      <c r="A474" s="6"/>
      <c r="C474" s="8"/>
      <c r="D474" s="12"/>
      <c r="E474" s="8"/>
      <c r="F474" s="9"/>
      <c r="G474" s="8"/>
    </row>
    <row r="475" spans="1:7" x14ac:dyDescent="0.2">
      <c r="A475" s="6"/>
      <c r="C475" s="8"/>
      <c r="D475" s="12"/>
      <c r="E475" s="8"/>
      <c r="F475" s="9"/>
      <c r="G475" s="8"/>
    </row>
    <row r="477" spans="1:7" x14ac:dyDescent="0.2">
      <c r="A477" s="42"/>
      <c r="C477" s="42"/>
      <c r="D477" s="42"/>
      <c r="E477" s="42"/>
      <c r="F477" s="42"/>
      <c r="G477" s="27"/>
    </row>
    <row r="478" spans="1:7" x14ac:dyDescent="0.2">
      <c r="A478" s="42"/>
      <c r="C478" s="42"/>
      <c r="D478" s="42"/>
      <c r="E478" s="42"/>
      <c r="F478" s="42"/>
      <c r="G478" s="27"/>
    </row>
    <row r="479" spans="1:7" x14ac:dyDescent="0.2">
      <c r="A479" s="42"/>
      <c r="C479" s="42"/>
      <c r="D479" s="42"/>
      <c r="E479" s="42"/>
      <c r="F479" s="42"/>
      <c r="G479" s="27"/>
    </row>
    <row r="480" spans="1:7" x14ac:dyDescent="0.2">
      <c r="A480" s="42"/>
      <c r="C480" s="42"/>
      <c r="D480" s="42"/>
      <c r="E480" s="42"/>
      <c r="F480" s="42"/>
      <c r="G480" s="27"/>
    </row>
    <row r="481" spans="1:7" x14ac:dyDescent="0.2">
      <c r="A481" s="42"/>
      <c r="C481" s="42"/>
      <c r="D481" s="42"/>
      <c r="E481" s="42"/>
      <c r="F481" s="42"/>
      <c r="G481" s="27"/>
    </row>
    <row r="482" spans="1:7" x14ac:dyDescent="0.2">
      <c r="A482" s="42"/>
      <c r="C482" s="42"/>
      <c r="D482" s="42"/>
      <c r="E482" s="42"/>
      <c r="F482" s="42"/>
      <c r="G482" s="27"/>
    </row>
    <row r="483" spans="1:7" x14ac:dyDescent="0.2">
      <c r="A483" s="42"/>
      <c r="C483" s="42"/>
      <c r="D483" s="42"/>
      <c r="E483" s="42"/>
      <c r="F483" s="42"/>
      <c r="G483" s="27"/>
    </row>
    <row r="484" spans="1:7" x14ac:dyDescent="0.2">
      <c r="A484" s="42"/>
      <c r="C484" s="42"/>
      <c r="D484" s="42"/>
      <c r="E484" s="42"/>
      <c r="F484" s="42"/>
      <c r="G484" s="27"/>
    </row>
    <row r="485" spans="1:7" x14ac:dyDescent="0.2">
      <c r="A485" s="42"/>
      <c r="C485" s="42"/>
      <c r="D485" s="42"/>
      <c r="E485" s="42"/>
      <c r="F485" s="42"/>
      <c r="G485" s="27"/>
    </row>
    <row r="486" spans="1:7" x14ac:dyDescent="0.2">
      <c r="A486" s="42"/>
      <c r="C486" s="42"/>
      <c r="D486" s="42"/>
      <c r="E486" s="42"/>
      <c r="F486" s="42"/>
      <c r="G486" s="27"/>
    </row>
    <row r="487" spans="1:7" x14ac:dyDescent="0.2">
      <c r="A487" s="42"/>
      <c r="C487" s="42"/>
      <c r="D487" s="42"/>
      <c r="E487" s="42"/>
      <c r="F487" s="42"/>
      <c r="G487" s="27"/>
    </row>
    <row r="488" spans="1:7" x14ac:dyDescent="0.2">
      <c r="A488" s="42"/>
      <c r="C488" s="42"/>
      <c r="D488" s="42"/>
      <c r="E488" s="42"/>
      <c r="F488" s="42"/>
      <c r="G488" s="27"/>
    </row>
    <row r="489" spans="1:7" x14ac:dyDescent="0.2">
      <c r="A489" s="42"/>
      <c r="C489" s="42"/>
      <c r="D489" s="42"/>
      <c r="E489" s="42"/>
      <c r="F489" s="42"/>
      <c r="G489" s="27"/>
    </row>
    <row r="490" spans="1:7" x14ac:dyDescent="0.2">
      <c r="A490" s="42"/>
      <c r="C490" s="42"/>
      <c r="D490" s="42"/>
      <c r="E490" s="42"/>
      <c r="F490" s="42"/>
      <c r="G490" s="27"/>
    </row>
    <row r="491" spans="1:7" x14ac:dyDescent="0.2">
      <c r="A491" s="42"/>
      <c r="C491" s="42"/>
      <c r="D491" s="42"/>
      <c r="E491" s="42"/>
      <c r="F491" s="42"/>
      <c r="G491" s="27"/>
    </row>
    <row r="492" spans="1:7" x14ac:dyDescent="0.2">
      <c r="A492" s="42"/>
      <c r="C492" s="42"/>
      <c r="D492" s="42"/>
      <c r="E492" s="42"/>
      <c r="F492" s="42"/>
      <c r="G492" s="27"/>
    </row>
    <row r="493" spans="1:7" x14ac:dyDescent="0.2">
      <c r="A493" s="42"/>
      <c r="C493" s="42"/>
      <c r="D493" s="42"/>
      <c r="E493" s="42"/>
      <c r="F493" s="42"/>
      <c r="G493" s="27"/>
    </row>
    <row r="494" spans="1:7" x14ac:dyDescent="0.2">
      <c r="A494" s="42"/>
      <c r="C494" s="42"/>
      <c r="D494" s="42"/>
      <c r="E494" s="42"/>
      <c r="F494" s="42"/>
      <c r="G494" s="27"/>
    </row>
    <row r="495" spans="1:7" x14ac:dyDescent="0.2">
      <c r="A495" s="42"/>
      <c r="C495" s="42"/>
      <c r="D495" s="42"/>
      <c r="E495" s="42"/>
      <c r="F495" s="42"/>
      <c r="G495" s="27"/>
    </row>
    <row r="496" spans="1:7" x14ac:dyDescent="0.2">
      <c r="A496" s="42"/>
      <c r="C496" s="42"/>
      <c r="D496" s="42"/>
      <c r="E496" s="42"/>
      <c r="F496" s="42"/>
      <c r="G496" s="27"/>
    </row>
    <row r="497" spans="1:7" x14ac:dyDescent="0.2">
      <c r="A497" s="42"/>
      <c r="C497" s="42"/>
      <c r="D497" s="42"/>
      <c r="E497" s="42"/>
      <c r="F497" s="42"/>
      <c r="G497" s="27"/>
    </row>
    <row r="498" spans="1:7" x14ac:dyDescent="0.2">
      <c r="A498" s="42"/>
      <c r="C498" s="42"/>
      <c r="D498" s="42"/>
      <c r="E498" s="42"/>
      <c r="F498" s="42"/>
      <c r="G498" s="27"/>
    </row>
    <row r="499" spans="1:7" x14ac:dyDescent="0.2">
      <c r="A499" s="42"/>
      <c r="C499" s="42"/>
      <c r="D499" s="42"/>
      <c r="E499" s="42"/>
      <c r="F499" s="42"/>
      <c r="G499" s="27"/>
    </row>
  </sheetData>
  <mergeCells count="5">
    <mergeCell ref="A71:G71"/>
    <mergeCell ref="A1:G1"/>
    <mergeCell ref="A70:G70"/>
    <mergeCell ref="A2:A3"/>
    <mergeCell ref="B2:B3"/>
  </mergeCells>
  <phoneticPr fontId="2" type="noConversion"/>
  <printOptions horizontalCentered="1"/>
  <pageMargins left="0.5" right="0.5" top="0.5" bottom="0.25" header="0.5" footer="0.5"/>
  <pageSetup firstPageNumber="42" fitToHeight="0" orientation="portrait" useFirstPageNumber="1" r:id="rId1"/>
  <headerFooter alignWithMargins="0"/>
  <rowBreaks count="1" manualBreakCount="1">
    <brk id="5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89"/>
  <sheetViews>
    <sheetView view="pageBreakPreview" zoomScale="130" zoomScaleNormal="145" zoomScaleSheetLayoutView="130" workbookViewId="0">
      <selection sqref="A1:H1"/>
    </sheetView>
  </sheetViews>
  <sheetFormatPr defaultColWidth="15.140625" defaultRowHeight="12.75" x14ac:dyDescent="0.2"/>
  <cols>
    <col min="1" max="1" width="25.140625" style="26" customWidth="1"/>
    <col min="2" max="2" width="9.5703125" style="26" customWidth="1"/>
    <col min="3" max="3" width="10.7109375" style="26" customWidth="1"/>
    <col min="4" max="4" width="9.5703125" style="26" customWidth="1"/>
    <col min="5" max="5" width="10.7109375" style="26" customWidth="1"/>
    <col min="6" max="6" width="9.5703125" style="26" customWidth="1"/>
    <col min="7" max="7" width="10.7109375" style="26" customWidth="1"/>
    <col min="8" max="8" width="9.5703125" style="26" customWidth="1"/>
    <col min="9" max="16384" width="15.140625" style="26"/>
  </cols>
  <sheetData>
    <row r="1" spans="1:14" ht="16.5" customHeight="1" x14ac:dyDescent="0.2">
      <c r="A1" s="558" t="s">
        <v>177</v>
      </c>
      <c r="B1" s="558"/>
      <c r="C1" s="558"/>
      <c r="D1" s="558"/>
      <c r="E1" s="558"/>
      <c r="F1" s="558"/>
      <c r="G1" s="558"/>
      <c r="H1" s="558"/>
      <c r="I1" s="1"/>
    </row>
    <row r="2" spans="1:14" ht="11.25" customHeight="1" x14ac:dyDescent="0.2">
      <c r="A2" s="561" t="s">
        <v>0</v>
      </c>
      <c r="B2" s="563" t="s">
        <v>1</v>
      </c>
      <c r="C2" s="565" t="s">
        <v>25</v>
      </c>
      <c r="D2" s="565"/>
      <c r="E2" s="565" t="s">
        <v>113</v>
      </c>
      <c r="F2" s="565"/>
      <c r="G2" s="565" t="s">
        <v>26</v>
      </c>
      <c r="H2" s="565"/>
      <c r="I2" s="565" t="s">
        <v>25</v>
      </c>
      <c r="J2" s="565"/>
      <c r="K2" s="565" t="s">
        <v>113</v>
      </c>
      <c r="L2" s="565"/>
      <c r="M2" s="565" t="s">
        <v>26</v>
      </c>
      <c r="N2" s="565"/>
    </row>
    <row r="3" spans="1:14" ht="11.25" customHeight="1" x14ac:dyDescent="0.2">
      <c r="A3" s="561"/>
      <c r="B3" s="563"/>
      <c r="C3" s="121" t="s">
        <v>114</v>
      </c>
      <c r="D3" s="120" t="s">
        <v>174</v>
      </c>
      <c r="E3" s="121" t="s">
        <v>114</v>
      </c>
      <c r="F3" s="465" t="s">
        <v>174</v>
      </c>
      <c r="G3" s="121" t="s">
        <v>114</v>
      </c>
      <c r="H3" s="465" t="s">
        <v>174</v>
      </c>
      <c r="I3" s="403" t="s">
        <v>114</v>
      </c>
      <c r="J3" s="402" t="s">
        <v>133</v>
      </c>
      <c r="K3" s="403" t="s">
        <v>114</v>
      </c>
      <c r="L3" s="402" t="s">
        <v>133</v>
      </c>
      <c r="M3" s="403" t="s">
        <v>114</v>
      </c>
      <c r="N3" s="402" t="s">
        <v>133</v>
      </c>
    </row>
    <row r="4" spans="1:14" ht="11.1" customHeight="1" x14ac:dyDescent="0.2">
      <c r="A4" s="562"/>
      <c r="B4" s="564"/>
      <c r="C4" s="381" t="s">
        <v>115</v>
      </c>
      <c r="D4" s="381" t="s">
        <v>112</v>
      </c>
      <c r="E4" s="381" t="s">
        <v>115</v>
      </c>
      <c r="F4" s="381" t="s">
        <v>112</v>
      </c>
      <c r="G4" s="381" t="s">
        <v>115</v>
      </c>
      <c r="H4" s="381" t="s">
        <v>112</v>
      </c>
    </row>
    <row r="5" spans="1:14" ht="3.75" customHeight="1" x14ac:dyDescent="0.2">
      <c r="A5" s="436"/>
      <c r="B5" s="437"/>
      <c r="C5" s="440"/>
      <c r="D5" s="440"/>
      <c r="E5" s="440"/>
      <c r="F5" s="440"/>
      <c r="G5" s="440"/>
      <c r="H5" s="440"/>
    </row>
    <row r="6" spans="1:14" s="1" customFormat="1" ht="12" customHeight="1" x14ac:dyDescent="0.2">
      <c r="A6" s="110" t="s">
        <v>175</v>
      </c>
      <c r="B6" s="146" t="s">
        <v>56</v>
      </c>
      <c r="C6" s="58">
        <v>8620</v>
      </c>
      <c r="D6" s="117">
        <v>5.7</v>
      </c>
      <c r="E6" s="58">
        <v>8620</v>
      </c>
      <c r="F6" s="117">
        <v>5.7</v>
      </c>
      <c r="G6" s="116" t="s">
        <v>82</v>
      </c>
      <c r="H6" s="315" t="s">
        <v>82</v>
      </c>
    </row>
    <row r="7" spans="1:14" s="1" customFormat="1" ht="12" customHeight="1" x14ac:dyDescent="0.2">
      <c r="A7" s="241"/>
      <c r="B7" s="146" t="s">
        <v>57</v>
      </c>
      <c r="C7" s="58">
        <v>8000</v>
      </c>
      <c r="D7" s="117">
        <v>6.99</v>
      </c>
      <c r="E7" s="58">
        <v>8000</v>
      </c>
      <c r="F7" s="117">
        <v>6.99</v>
      </c>
      <c r="G7" s="116" t="s">
        <v>82</v>
      </c>
      <c r="H7" s="315" t="s">
        <v>82</v>
      </c>
    </row>
    <row r="8" spans="1:14" s="1" customFormat="1" ht="12" customHeight="1" x14ac:dyDescent="0.2">
      <c r="A8" s="98"/>
      <c r="B8" s="146" t="s">
        <v>60</v>
      </c>
      <c r="C8" s="58">
        <v>9000</v>
      </c>
      <c r="D8" s="117">
        <v>4.37</v>
      </c>
      <c r="E8" s="58">
        <v>7760</v>
      </c>
      <c r="F8" s="117" t="s">
        <v>82</v>
      </c>
      <c r="G8" s="58">
        <v>1240</v>
      </c>
      <c r="H8" s="315" t="s">
        <v>82</v>
      </c>
    </row>
    <row r="9" spans="1:14" s="1" customFormat="1" ht="12" customHeight="1" x14ac:dyDescent="0.2">
      <c r="A9" s="241"/>
      <c r="B9" s="146" t="s">
        <v>64</v>
      </c>
      <c r="C9" s="58">
        <v>7700</v>
      </c>
      <c r="D9" s="117">
        <v>4.91</v>
      </c>
      <c r="E9" s="58">
        <v>6630</v>
      </c>
      <c r="F9" s="117" t="s">
        <v>82</v>
      </c>
      <c r="G9" s="58">
        <v>1070</v>
      </c>
      <c r="H9" s="315" t="s">
        <v>82</v>
      </c>
    </row>
    <row r="10" spans="1:14" s="1" customFormat="1" ht="12" customHeight="1" x14ac:dyDescent="0.2">
      <c r="A10" s="138"/>
      <c r="B10" s="236" t="s">
        <v>81</v>
      </c>
      <c r="C10" s="237">
        <v>9600</v>
      </c>
      <c r="D10" s="238">
        <v>5.25</v>
      </c>
      <c r="E10" s="237">
        <v>7200</v>
      </c>
      <c r="F10" s="238" t="s">
        <v>82</v>
      </c>
      <c r="G10" s="219">
        <v>2400</v>
      </c>
      <c r="H10" s="309" t="s">
        <v>82</v>
      </c>
    </row>
    <row r="11" spans="1:14" s="1" customFormat="1" ht="12" customHeight="1" x14ac:dyDescent="0.2">
      <c r="A11" s="186"/>
      <c r="B11" s="236" t="s">
        <v>88</v>
      </c>
      <c r="C11" s="237">
        <v>7600</v>
      </c>
      <c r="D11" s="238">
        <v>8.91</v>
      </c>
      <c r="E11" s="237">
        <v>6320</v>
      </c>
      <c r="F11" s="238" t="s">
        <v>82</v>
      </c>
      <c r="G11" s="219">
        <v>1280</v>
      </c>
      <c r="H11" s="309" t="s">
        <v>82</v>
      </c>
    </row>
    <row r="12" spans="1:14" s="1" customFormat="1" ht="12" customHeight="1" x14ac:dyDescent="0.2">
      <c r="A12" s="138"/>
      <c r="B12" s="236" t="s">
        <v>90</v>
      </c>
      <c r="C12" s="237">
        <v>8800</v>
      </c>
      <c r="D12" s="238">
        <v>9.51</v>
      </c>
      <c r="E12" s="237">
        <v>7000</v>
      </c>
      <c r="F12" s="238" t="s">
        <v>82</v>
      </c>
      <c r="G12" s="219">
        <v>1800</v>
      </c>
      <c r="H12" s="309" t="s">
        <v>82</v>
      </c>
    </row>
    <row r="13" spans="1:14" s="1" customFormat="1" ht="12" customHeight="1" x14ac:dyDescent="0.2">
      <c r="B13" s="236" t="s">
        <v>94</v>
      </c>
      <c r="C13" s="237">
        <v>7600</v>
      </c>
      <c r="D13" s="318">
        <v>9.17</v>
      </c>
      <c r="E13" s="237">
        <v>5600</v>
      </c>
      <c r="F13" s="318" t="s">
        <v>82</v>
      </c>
      <c r="G13" s="237">
        <v>2000</v>
      </c>
      <c r="H13" s="73" t="s">
        <v>82</v>
      </c>
    </row>
    <row r="14" spans="1:14" s="1" customFormat="1" ht="12" customHeight="1" x14ac:dyDescent="0.2">
      <c r="B14" s="236" t="s">
        <v>138</v>
      </c>
      <c r="C14" s="237">
        <v>8400</v>
      </c>
      <c r="D14" s="318">
        <f>13.46/2</f>
        <v>6.73</v>
      </c>
      <c r="E14" s="237">
        <v>5200</v>
      </c>
      <c r="F14" s="318" t="s">
        <v>82</v>
      </c>
      <c r="G14" s="237">
        <v>3200</v>
      </c>
      <c r="H14" s="73" t="s">
        <v>82</v>
      </c>
    </row>
    <row r="15" spans="1:14" s="1" customFormat="1" ht="12" customHeight="1" x14ac:dyDescent="0.2">
      <c r="B15" s="236" t="s">
        <v>142</v>
      </c>
      <c r="C15" s="237">
        <v>7600</v>
      </c>
      <c r="D15" s="226">
        <v>8.625</v>
      </c>
      <c r="E15" s="237">
        <v>6200</v>
      </c>
      <c r="F15" s="318" t="s">
        <v>82</v>
      </c>
      <c r="G15" s="237">
        <v>1400</v>
      </c>
      <c r="H15" s="204" t="s">
        <v>82</v>
      </c>
      <c r="I15" s="471">
        <f t="shared" ref="I15:N15" si="0">(C15-C14)/C14</f>
        <v>-9.5238095238095233E-2</v>
      </c>
      <c r="J15" s="404">
        <f t="shared" si="0"/>
        <v>0.28157503714710247</v>
      </c>
      <c r="K15" s="404">
        <f t="shared" si="0"/>
        <v>0.19230769230769232</v>
      </c>
      <c r="L15" s="404" t="e">
        <f t="shared" si="0"/>
        <v>#VALUE!</v>
      </c>
      <c r="M15" s="404">
        <f t="shared" si="0"/>
        <v>-0.5625</v>
      </c>
      <c r="N15" s="404" t="e">
        <f t="shared" si="0"/>
        <v>#VALUE!</v>
      </c>
    </row>
    <row r="16" spans="1:14" s="1" customFormat="1" ht="6" customHeight="1" x14ac:dyDescent="0.2">
      <c r="A16" s="138"/>
      <c r="B16" s="239"/>
      <c r="C16" s="58"/>
      <c r="D16" s="117"/>
      <c r="E16" s="58"/>
      <c r="F16" s="117"/>
      <c r="G16" s="116"/>
      <c r="H16" s="315"/>
    </row>
    <row r="17" spans="1:14" s="1" customFormat="1" ht="12" customHeight="1" x14ac:dyDescent="0.2">
      <c r="A17" s="110" t="s">
        <v>21</v>
      </c>
      <c r="B17" s="239" t="s">
        <v>56</v>
      </c>
      <c r="C17" s="58">
        <v>41000</v>
      </c>
      <c r="D17" s="117">
        <v>8.59</v>
      </c>
      <c r="E17" s="58">
        <v>27400</v>
      </c>
      <c r="F17" s="117" t="s">
        <v>82</v>
      </c>
      <c r="G17" s="58">
        <v>13600</v>
      </c>
      <c r="H17" s="315" t="s">
        <v>82</v>
      </c>
    </row>
    <row r="18" spans="1:14" s="1" customFormat="1" ht="12" customHeight="1" x14ac:dyDescent="0.2">
      <c r="A18" s="98"/>
      <c r="B18" s="239" t="s">
        <v>57</v>
      </c>
      <c r="C18" s="58">
        <v>41000</v>
      </c>
      <c r="D18" s="117">
        <v>10.63</v>
      </c>
      <c r="E18" s="58">
        <v>31800</v>
      </c>
      <c r="F18" s="117" t="s">
        <v>82</v>
      </c>
      <c r="G18" s="58">
        <v>9200</v>
      </c>
      <c r="H18" s="315" t="s">
        <v>82</v>
      </c>
    </row>
    <row r="19" spans="1:14" s="1" customFormat="1" ht="12" customHeight="1" x14ac:dyDescent="0.2">
      <c r="A19" s="98"/>
      <c r="B19" s="239" t="s">
        <v>60</v>
      </c>
      <c r="C19" s="58">
        <v>42000</v>
      </c>
      <c r="D19" s="117" t="s">
        <v>82</v>
      </c>
      <c r="E19" s="58">
        <v>28400</v>
      </c>
      <c r="F19" s="117" t="s">
        <v>82</v>
      </c>
      <c r="G19" s="58">
        <v>13600</v>
      </c>
      <c r="H19" s="315" t="s">
        <v>82</v>
      </c>
    </row>
    <row r="20" spans="1:14" s="1" customFormat="1" ht="12" customHeight="1" x14ac:dyDescent="0.2">
      <c r="A20" s="241"/>
      <c r="B20" s="236" t="s">
        <v>64</v>
      </c>
      <c r="C20" s="152">
        <v>37600</v>
      </c>
      <c r="D20" s="150" t="s">
        <v>82</v>
      </c>
      <c r="E20" s="152">
        <v>29000</v>
      </c>
      <c r="F20" s="150" t="s">
        <v>82</v>
      </c>
      <c r="G20" s="152">
        <v>8600</v>
      </c>
      <c r="H20" s="316" t="s">
        <v>82</v>
      </c>
    </row>
    <row r="21" spans="1:14" s="1" customFormat="1" ht="12" customHeight="1" x14ac:dyDescent="0.2">
      <c r="A21" s="138"/>
      <c r="B21" s="236" t="s">
        <v>81</v>
      </c>
      <c r="C21" s="237">
        <v>41200</v>
      </c>
      <c r="D21" s="238" t="s">
        <v>82</v>
      </c>
      <c r="E21" s="237">
        <v>28000</v>
      </c>
      <c r="F21" s="238" t="s">
        <v>82</v>
      </c>
      <c r="G21" s="237">
        <v>13200</v>
      </c>
      <c r="H21" s="309" t="s">
        <v>82</v>
      </c>
    </row>
    <row r="22" spans="1:14" s="1" customFormat="1" ht="12" customHeight="1" x14ac:dyDescent="0.2">
      <c r="A22" s="186"/>
      <c r="B22" s="236" t="s">
        <v>88</v>
      </c>
      <c r="C22" s="237">
        <v>42000</v>
      </c>
      <c r="D22" s="238" t="s">
        <v>82</v>
      </c>
      <c r="E22" s="237">
        <v>32000</v>
      </c>
      <c r="F22" s="238" t="s">
        <v>82</v>
      </c>
      <c r="G22" s="237">
        <v>10000</v>
      </c>
      <c r="H22" s="309" t="s">
        <v>82</v>
      </c>
    </row>
    <row r="23" spans="1:14" s="1" customFormat="1" ht="12" customHeight="1" x14ac:dyDescent="0.2">
      <c r="A23" s="138"/>
      <c r="B23" s="236" t="s">
        <v>90</v>
      </c>
      <c r="C23" s="237">
        <v>41000</v>
      </c>
      <c r="D23" s="238">
        <v>17.510000000000002</v>
      </c>
      <c r="E23" s="237">
        <v>32800</v>
      </c>
      <c r="F23" s="238" t="s">
        <v>82</v>
      </c>
      <c r="G23" s="237">
        <v>8200</v>
      </c>
      <c r="H23" s="309" t="s">
        <v>82</v>
      </c>
    </row>
    <row r="24" spans="1:14" s="1" customFormat="1" ht="12" customHeight="1" x14ac:dyDescent="0.2">
      <c r="B24" s="236" t="s">
        <v>94</v>
      </c>
      <c r="C24" s="237">
        <v>42400</v>
      </c>
      <c r="D24" s="318">
        <v>16.079999999999998</v>
      </c>
      <c r="E24" s="237">
        <v>32400</v>
      </c>
      <c r="F24" s="318" t="s">
        <v>82</v>
      </c>
      <c r="G24" s="237">
        <v>10000</v>
      </c>
      <c r="H24" s="73" t="s">
        <v>82</v>
      </c>
    </row>
    <row r="25" spans="1:14" s="1" customFormat="1" ht="12" customHeight="1" x14ac:dyDescent="0.2">
      <c r="B25" s="236" t="s">
        <v>138</v>
      </c>
      <c r="C25" s="237">
        <f>23700*2</f>
        <v>47400</v>
      </c>
      <c r="D25" s="318">
        <v>14.52</v>
      </c>
      <c r="E25" s="237">
        <v>35000</v>
      </c>
      <c r="F25" s="318" t="s">
        <v>82</v>
      </c>
      <c r="G25" s="237">
        <v>12400</v>
      </c>
      <c r="H25" s="73" t="s">
        <v>82</v>
      </c>
      <c r="I25" s="10"/>
    </row>
    <row r="26" spans="1:14" s="1" customFormat="1" ht="12" customHeight="1" x14ac:dyDescent="0.2">
      <c r="B26" s="236" t="s">
        <v>142</v>
      </c>
      <c r="C26" s="237">
        <v>51400</v>
      </c>
      <c r="D26" s="226">
        <v>12.1</v>
      </c>
      <c r="E26" s="237">
        <v>35400</v>
      </c>
      <c r="F26" s="318" t="s">
        <v>82</v>
      </c>
      <c r="G26" s="237">
        <v>16000</v>
      </c>
      <c r="H26" s="204" t="s">
        <v>82</v>
      </c>
      <c r="I26" s="471">
        <f t="shared" ref="I26:N26" si="1">(C26-C25)/C25</f>
        <v>8.4388185654008435E-2</v>
      </c>
      <c r="J26" s="404">
        <f t="shared" si="1"/>
        <v>-0.16666666666666666</v>
      </c>
      <c r="K26" s="404">
        <f t="shared" si="1"/>
        <v>1.1428571428571429E-2</v>
      </c>
      <c r="L26" s="404" t="e">
        <f t="shared" si="1"/>
        <v>#VALUE!</v>
      </c>
      <c r="M26" s="404">
        <f t="shared" si="1"/>
        <v>0.29032258064516131</v>
      </c>
      <c r="N26" s="404" t="e">
        <f t="shared" si="1"/>
        <v>#VALUE!</v>
      </c>
    </row>
    <row r="27" spans="1:14" s="1" customFormat="1" ht="6" customHeight="1" x14ac:dyDescent="0.2">
      <c r="A27" s="138"/>
      <c r="B27" s="239"/>
      <c r="C27" s="58"/>
      <c r="D27" s="117"/>
      <c r="E27" s="58"/>
      <c r="F27" s="117"/>
      <c r="G27" s="58"/>
      <c r="H27" s="315"/>
    </row>
    <row r="28" spans="1:14" s="1" customFormat="1" ht="12" customHeight="1" x14ac:dyDescent="0.2">
      <c r="A28" s="110" t="s">
        <v>59</v>
      </c>
      <c r="B28" s="239" t="s">
        <v>56</v>
      </c>
      <c r="C28" s="58">
        <v>96000</v>
      </c>
      <c r="D28" s="117">
        <v>5.25</v>
      </c>
      <c r="E28" s="58">
        <v>75400</v>
      </c>
      <c r="F28" s="117" t="s">
        <v>82</v>
      </c>
      <c r="G28" s="58">
        <v>20600</v>
      </c>
      <c r="H28" s="315" t="s">
        <v>82</v>
      </c>
    </row>
    <row r="29" spans="1:14" s="1" customFormat="1" ht="12" customHeight="1" x14ac:dyDescent="0.2">
      <c r="A29" s="98"/>
      <c r="B29" s="239" t="s">
        <v>57</v>
      </c>
      <c r="C29" s="58">
        <v>91000</v>
      </c>
      <c r="D29" s="117">
        <v>6.68</v>
      </c>
      <c r="E29" s="58">
        <v>77200</v>
      </c>
      <c r="F29" s="117" t="s">
        <v>82</v>
      </c>
      <c r="G29" s="58">
        <v>13800</v>
      </c>
      <c r="H29" s="315" t="s">
        <v>82</v>
      </c>
    </row>
    <row r="30" spans="1:14" s="1" customFormat="1" ht="12" customHeight="1" x14ac:dyDescent="0.2">
      <c r="A30" s="98"/>
      <c r="B30" s="239" t="s">
        <v>60</v>
      </c>
      <c r="C30" s="58">
        <v>85000</v>
      </c>
      <c r="D30" s="117">
        <v>6.48</v>
      </c>
      <c r="E30" s="58">
        <v>74800</v>
      </c>
      <c r="F30" s="117" t="s">
        <v>82</v>
      </c>
      <c r="G30" s="58">
        <v>10200</v>
      </c>
      <c r="H30" s="315" t="s">
        <v>82</v>
      </c>
    </row>
    <row r="31" spans="1:14" s="1" customFormat="1" ht="12" customHeight="1" x14ac:dyDescent="0.2">
      <c r="A31" s="241"/>
      <c r="B31" s="239" t="s">
        <v>64</v>
      </c>
      <c r="C31" s="58">
        <v>77400</v>
      </c>
      <c r="D31" s="117">
        <v>9.57</v>
      </c>
      <c r="E31" s="58">
        <v>61000</v>
      </c>
      <c r="F31" s="117" t="s">
        <v>82</v>
      </c>
      <c r="G31" s="58">
        <v>16400</v>
      </c>
      <c r="H31" s="315" t="s">
        <v>82</v>
      </c>
    </row>
    <row r="32" spans="1:14" s="1" customFormat="1" ht="12" customHeight="1" x14ac:dyDescent="0.2">
      <c r="A32" s="138"/>
      <c r="B32" s="236" t="s">
        <v>81</v>
      </c>
      <c r="C32" s="237">
        <v>78000</v>
      </c>
      <c r="D32" s="238">
        <v>8.15</v>
      </c>
      <c r="E32" s="237">
        <v>62800</v>
      </c>
      <c r="F32" s="238" t="s">
        <v>82</v>
      </c>
      <c r="G32" s="237">
        <v>15200</v>
      </c>
      <c r="H32" s="309" t="s">
        <v>82</v>
      </c>
    </row>
    <row r="33" spans="1:14" s="1" customFormat="1" ht="12" customHeight="1" x14ac:dyDescent="0.2">
      <c r="A33" s="186"/>
      <c r="B33" s="236" t="s">
        <v>88</v>
      </c>
      <c r="C33" s="237">
        <v>94400</v>
      </c>
      <c r="D33" s="238">
        <v>7.33</v>
      </c>
      <c r="E33" s="237">
        <v>76200</v>
      </c>
      <c r="F33" s="238" t="s">
        <v>82</v>
      </c>
      <c r="G33" s="237">
        <v>18200</v>
      </c>
      <c r="H33" s="309" t="s">
        <v>82</v>
      </c>
    </row>
    <row r="34" spans="1:14" s="1" customFormat="1" ht="12" customHeight="1" x14ac:dyDescent="0.2">
      <c r="A34" s="138"/>
      <c r="B34" s="236" t="s">
        <v>90</v>
      </c>
      <c r="C34" s="237">
        <v>78600</v>
      </c>
      <c r="D34" s="238">
        <v>8.99</v>
      </c>
      <c r="E34" s="237">
        <v>66200</v>
      </c>
      <c r="F34" s="238" t="s">
        <v>82</v>
      </c>
      <c r="G34" s="237">
        <v>12400</v>
      </c>
      <c r="H34" s="309" t="s">
        <v>82</v>
      </c>
    </row>
    <row r="35" spans="1:14" s="1" customFormat="1" ht="12" customHeight="1" x14ac:dyDescent="0.2">
      <c r="B35" s="236" t="s">
        <v>94</v>
      </c>
      <c r="C35" s="237">
        <v>71800</v>
      </c>
      <c r="D35" s="318">
        <v>12.68</v>
      </c>
      <c r="E35" s="237">
        <v>61800</v>
      </c>
      <c r="F35" s="318" t="s">
        <v>82</v>
      </c>
      <c r="G35" s="237">
        <v>10000</v>
      </c>
      <c r="H35" s="73" t="s">
        <v>82</v>
      </c>
      <c r="I35" s="308"/>
    </row>
    <row r="36" spans="1:14" s="1" customFormat="1" ht="12" customHeight="1" x14ac:dyDescent="0.2">
      <c r="B36" s="236" t="s">
        <v>138</v>
      </c>
      <c r="C36" s="237">
        <v>84000</v>
      </c>
      <c r="D36" s="226">
        <f>14.19/2</f>
        <v>7.0949999999999998</v>
      </c>
      <c r="E36" s="237">
        <f>31400*2</f>
        <v>62800</v>
      </c>
      <c r="F36" s="318" t="s">
        <v>82</v>
      </c>
      <c r="G36" s="237">
        <v>21200</v>
      </c>
      <c r="H36" s="73" t="s">
        <v>82</v>
      </c>
      <c r="I36" s="308"/>
    </row>
    <row r="37" spans="1:14" s="1" customFormat="1" ht="12" customHeight="1" x14ac:dyDescent="0.2">
      <c r="B37" s="236" t="s">
        <v>142</v>
      </c>
      <c r="C37" s="237">
        <v>88600</v>
      </c>
      <c r="D37" s="226">
        <v>7.63</v>
      </c>
      <c r="E37" s="237">
        <v>69800</v>
      </c>
      <c r="F37" s="318" t="s">
        <v>82</v>
      </c>
      <c r="G37" s="237">
        <v>18800</v>
      </c>
      <c r="H37" s="204" t="s">
        <v>82</v>
      </c>
      <c r="I37" s="471">
        <f t="shared" ref="I37:N37" si="2">(C37-C36)/C36</f>
        <v>5.4761904761904762E-2</v>
      </c>
      <c r="J37" s="404">
        <f t="shared" si="2"/>
        <v>7.5405214940098678E-2</v>
      </c>
      <c r="K37" s="404">
        <f t="shared" si="2"/>
        <v>0.11146496815286625</v>
      </c>
      <c r="L37" s="404" t="e">
        <f t="shared" si="2"/>
        <v>#VALUE!</v>
      </c>
      <c r="M37" s="404">
        <f t="shared" si="2"/>
        <v>-0.11320754716981132</v>
      </c>
      <c r="N37" s="404" t="e">
        <f t="shared" si="2"/>
        <v>#VALUE!</v>
      </c>
    </row>
    <row r="38" spans="1:14" s="1" customFormat="1" ht="6" customHeight="1" x14ac:dyDescent="0.2">
      <c r="A38" s="138"/>
      <c r="B38" s="239"/>
      <c r="C38" s="58"/>
      <c r="D38" s="117"/>
      <c r="E38" s="58"/>
      <c r="F38" s="117"/>
      <c r="G38" s="58"/>
      <c r="H38" s="315"/>
    </row>
    <row r="39" spans="1:14" s="1" customFormat="1" ht="12" customHeight="1" x14ac:dyDescent="0.2">
      <c r="A39" s="110" t="s">
        <v>23</v>
      </c>
      <c r="B39" s="239" t="s">
        <v>56</v>
      </c>
      <c r="C39" s="58">
        <v>29000</v>
      </c>
      <c r="D39" s="117">
        <v>5.26</v>
      </c>
      <c r="E39" s="58">
        <v>22800</v>
      </c>
      <c r="F39" s="117" t="s">
        <v>82</v>
      </c>
      <c r="G39" s="58">
        <v>6200</v>
      </c>
      <c r="H39" s="315" t="s">
        <v>82</v>
      </c>
    </row>
    <row r="40" spans="1:14" s="1" customFormat="1" ht="12" customHeight="1" x14ac:dyDescent="0.2">
      <c r="A40" s="98"/>
      <c r="B40" s="239" t="s">
        <v>57</v>
      </c>
      <c r="C40" s="58">
        <v>25000</v>
      </c>
      <c r="D40" s="117">
        <v>6.3</v>
      </c>
      <c r="E40" s="58">
        <v>20400</v>
      </c>
      <c r="F40" s="117" t="s">
        <v>82</v>
      </c>
      <c r="G40" s="58">
        <v>4600</v>
      </c>
      <c r="H40" s="315" t="s">
        <v>82</v>
      </c>
    </row>
    <row r="41" spans="1:14" s="1" customFormat="1" ht="12" customHeight="1" x14ac:dyDescent="0.2">
      <c r="A41" s="98"/>
      <c r="B41" s="239" t="s">
        <v>60</v>
      </c>
      <c r="C41" s="58">
        <v>24000</v>
      </c>
      <c r="D41" s="117">
        <v>6.67</v>
      </c>
      <c r="E41" s="58">
        <v>20400</v>
      </c>
      <c r="F41" s="117" t="s">
        <v>82</v>
      </c>
      <c r="G41" s="58">
        <v>3600</v>
      </c>
      <c r="H41" s="315" t="s">
        <v>82</v>
      </c>
    </row>
    <row r="42" spans="1:14" s="1" customFormat="1" ht="12" customHeight="1" x14ac:dyDescent="0.2">
      <c r="A42" s="241"/>
      <c r="B42" s="239" t="s">
        <v>64</v>
      </c>
      <c r="C42" s="58">
        <v>21600</v>
      </c>
      <c r="D42" s="117">
        <v>9.34</v>
      </c>
      <c r="E42" s="58">
        <v>18200</v>
      </c>
      <c r="F42" s="117" t="s">
        <v>82</v>
      </c>
      <c r="G42" s="58">
        <v>3400</v>
      </c>
      <c r="H42" s="315" t="s">
        <v>82</v>
      </c>
    </row>
    <row r="43" spans="1:14" s="1" customFormat="1" ht="12" customHeight="1" x14ac:dyDescent="0.2">
      <c r="A43" s="138"/>
      <c r="B43" s="236" t="s">
        <v>81</v>
      </c>
      <c r="C43" s="237">
        <v>18400</v>
      </c>
      <c r="D43" s="238">
        <v>7.5</v>
      </c>
      <c r="E43" s="237">
        <v>13200</v>
      </c>
      <c r="F43" s="238" t="s">
        <v>82</v>
      </c>
      <c r="G43" s="237">
        <v>5200</v>
      </c>
      <c r="H43" s="309" t="s">
        <v>82</v>
      </c>
    </row>
    <row r="44" spans="1:14" s="1" customFormat="1" ht="12" customHeight="1" x14ac:dyDescent="0.2">
      <c r="A44" s="186"/>
      <c r="B44" s="236" t="s">
        <v>88</v>
      </c>
      <c r="C44" s="237">
        <v>22600</v>
      </c>
      <c r="D44" s="220">
        <v>5.97</v>
      </c>
      <c r="E44" s="237">
        <v>13400</v>
      </c>
      <c r="F44" s="238" t="s">
        <v>82</v>
      </c>
      <c r="G44" s="237">
        <v>9200</v>
      </c>
      <c r="H44" s="309" t="s">
        <v>82</v>
      </c>
    </row>
    <row r="45" spans="1:14" s="1" customFormat="1" ht="12" customHeight="1" x14ac:dyDescent="0.2">
      <c r="A45" s="138"/>
      <c r="B45" s="236" t="s">
        <v>90</v>
      </c>
      <c r="C45" s="237">
        <v>18000</v>
      </c>
      <c r="D45" s="220">
        <v>10.130000000000001</v>
      </c>
      <c r="E45" s="237">
        <v>14000</v>
      </c>
      <c r="F45" s="238" t="s">
        <v>82</v>
      </c>
      <c r="G45" s="237">
        <v>4000</v>
      </c>
      <c r="H45" s="309" t="s">
        <v>82</v>
      </c>
    </row>
    <row r="46" spans="1:14" s="1" customFormat="1" ht="12" customHeight="1" x14ac:dyDescent="0.2">
      <c r="B46" s="236" t="s">
        <v>94</v>
      </c>
      <c r="C46" s="237">
        <v>16600</v>
      </c>
      <c r="D46" s="226">
        <v>11</v>
      </c>
      <c r="E46" s="237">
        <v>11800</v>
      </c>
      <c r="F46" s="318" t="s">
        <v>82</v>
      </c>
      <c r="G46" s="237">
        <v>4800</v>
      </c>
      <c r="H46" s="73" t="s">
        <v>82</v>
      </c>
    </row>
    <row r="47" spans="1:14" s="1" customFormat="1" ht="12" customHeight="1" x14ac:dyDescent="0.2">
      <c r="B47" s="236" t="s">
        <v>138</v>
      </c>
      <c r="C47" s="237">
        <v>20400</v>
      </c>
      <c r="D47" s="226">
        <v>5.07</v>
      </c>
      <c r="E47" s="237">
        <v>14000</v>
      </c>
      <c r="F47" s="318" t="s">
        <v>82</v>
      </c>
      <c r="G47" s="237">
        <v>6400</v>
      </c>
      <c r="H47" s="73" t="s">
        <v>82</v>
      </c>
    </row>
    <row r="48" spans="1:14" s="1" customFormat="1" ht="12" customHeight="1" x14ac:dyDescent="0.2">
      <c r="B48" s="236" t="s">
        <v>142</v>
      </c>
      <c r="C48" s="237">
        <v>18000</v>
      </c>
      <c r="D48" s="226">
        <v>8.6449999999999996</v>
      </c>
      <c r="E48" s="237">
        <v>15000</v>
      </c>
      <c r="F48" s="318" t="s">
        <v>82</v>
      </c>
      <c r="G48" s="237">
        <v>3000</v>
      </c>
      <c r="H48" s="204" t="s">
        <v>82</v>
      </c>
      <c r="I48" s="471">
        <f t="shared" ref="I48:N48" si="3">(C48-C47)/C47</f>
        <v>-0.11764705882352941</v>
      </c>
      <c r="J48" s="404">
        <f t="shared" si="3"/>
        <v>0.70512820512820495</v>
      </c>
      <c r="K48" s="404">
        <f t="shared" si="3"/>
        <v>7.1428571428571425E-2</v>
      </c>
      <c r="L48" s="404" t="e">
        <f t="shared" si="3"/>
        <v>#VALUE!</v>
      </c>
      <c r="M48" s="404">
        <f t="shared" si="3"/>
        <v>-0.53125</v>
      </c>
      <c r="N48" s="404" t="e">
        <f t="shared" si="3"/>
        <v>#VALUE!</v>
      </c>
    </row>
    <row r="49" spans="1:14" s="1" customFormat="1" ht="5.25" customHeight="1" x14ac:dyDescent="0.2">
      <c r="A49" s="138"/>
      <c r="B49" s="239"/>
      <c r="C49" s="219"/>
      <c r="D49" s="220"/>
      <c r="E49" s="219"/>
      <c r="F49" s="220"/>
      <c r="G49" s="219"/>
      <c r="H49" s="317"/>
    </row>
    <row r="50" spans="1:14" s="1" customFormat="1" ht="12" customHeight="1" x14ac:dyDescent="0.2">
      <c r="A50" s="110" t="s">
        <v>24</v>
      </c>
      <c r="B50" s="239" t="s">
        <v>56</v>
      </c>
      <c r="C50" s="219">
        <v>125000</v>
      </c>
      <c r="D50" s="220">
        <v>5.25</v>
      </c>
      <c r="E50" s="219">
        <v>98200</v>
      </c>
      <c r="F50" s="220" t="s">
        <v>82</v>
      </c>
      <c r="G50" s="219">
        <v>26800</v>
      </c>
      <c r="H50" s="317" t="s">
        <v>82</v>
      </c>
    </row>
    <row r="51" spans="1:14" s="1" customFormat="1" ht="12" customHeight="1" x14ac:dyDescent="0.2">
      <c r="A51" s="98"/>
      <c r="B51" s="239" t="s">
        <v>57</v>
      </c>
      <c r="C51" s="219">
        <v>116000</v>
      </c>
      <c r="D51" s="220">
        <v>6.6</v>
      </c>
      <c r="E51" s="219">
        <v>97600</v>
      </c>
      <c r="F51" s="220" t="s">
        <v>82</v>
      </c>
      <c r="G51" s="219">
        <v>18400</v>
      </c>
      <c r="H51" s="317" t="s">
        <v>82</v>
      </c>
      <c r="I51" s="237"/>
    </row>
    <row r="52" spans="1:14" s="1" customFormat="1" ht="12" customHeight="1" x14ac:dyDescent="0.2">
      <c r="A52" s="98"/>
      <c r="B52" s="239" t="s">
        <v>60</v>
      </c>
      <c r="C52" s="219">
        <v>109000</v>
      </c>
      <c r="D52" s="220">
        <v>6.52</v>
      </c>
      <c r="E52" s="219">
        <v>95200</v>
      </c>
      <c r="F52" s="220" t="s">
        <v>82</v>
      </c>
      <c r="G52" s="219">
        <v>13800</v>
      </c>
      <c r="H52" s="317" t="s">
        <v>82</v>
      </c>
    </row>
    <row r="53" spans="1:14" s="1" customFormat="1" ht="12" customHeight="1" x14ac:dyDescent="0.2">
      <c r="A53" s="241"/>
      <c r="B53" s="239" t="s">
        <v>64</v>
      </c>
      <c r="C53" s="219">
        <v>99000</v>
      </c>
      <c r="D53" s="220">
        <v>9.52</v>
      </c>
      <c r="E53" s="219">
        <v>79200</v>
      </c>
      <c r="F53" s="220" t="s">
        <v>82</v>
      </c>
      <c r="G53" s="219">
        <v>19800</v>
      </c>
      <c r="H53" s="317" t="s">
        <v>82</v>
      </c>
    </row>
    <row r="54" spans="1:14" s="1" customFormat="1" ht="12" customHeight="1" x14ac:dyDescent="0.2">
      <c r="A54" s="138"/>
      <c r="B54" s="236" t="s">
        <v>81</v>
      </c>
      <c r="C54" s="237">
        <v>96400</v>
      </c>
      <c r="D54" s="238">
        <v>8.02</v>
      </c>
      <c r="E54" s="237">
        <v>76000</v>
      </c>
      <c r="F54" s="238" t="s">
        <v>82</v>
      </c>
      <c r="G54" s="237">
        <v>20400</v>
      </c>
      <c r="H54" s="309" t="s">
        <v>82</v>
      </c>
    </row>
    <row r="55" spans="1:14" s="1" customFormat="1" ht="12" customHeight="1" x14ac:dyDescent="0.2">
      <c r="A55" s="186"/>
      <c r="B55" s="236" t="s">
        <v>88</v>
      </c>
      <c r="C55" s="237">
        <v>117000</v>
      </c>
      <c r="D55" s="238">
        <v>7.06</v>
      </c>
      <c r="E55" s="237">
        <v>89600</v>
      </c>
      <c r="F55" s="238" t="s">
        <v>82</v>
      </c>
      <c r="G55" s="237">
        <v>27400</v>
      </c>
      <c r="H55" s="309" t="s">
        <v>82</v>
      </c>
    </row>
    <row r="56" spans="1:14" s="1" customFormat="1" ht="12" customHeight="1" x14ac:dyDescent="0.2">
      <c r="A56" s="138"/>
      <c r="B56" s="236" t="s">
        <v>90</v>
      </c>
      <c r="C56" s="237">
        <v>96600</v>
      </c>
      <c r="D56" s="238">
        <v>9.1999999999999993</v>
      </c>
      <c r="E56" s="237">
        <v>80200</v>
      </c>
      <c r="F56" s="238" t="s">
        <v>82</v>
      </c>
      <c r="G56" s="237">
        <v>16400</v>
      </c>
      <c r="H56" s="309" t="s">
        <v>82</v>
      </c>
    </row>
    <row r="57" spans="1:14" s="1" customFormat="1" ht="12" customHeight="1" x14ac:dyDescent="0.2">
      <c r="B57" s="236" t="s">
        <v>94</v>
      </c>
      <c r="C57" s="237">
        <v>88400</v>
      </c>
      <c r="D57" s="318">
        <v>12.37</v>
      </c>
      <c r="E57" s="237">
        <v>73600</v>
      </c>
      <c r="F57" s="318" t="s">
        <v>82</v>
      </c>
      <c r="G57" s="237">
        <v>14800</v>
      </c>
      <c r="H57" s="204" t="s">
        <v>82</v>
      </c>
    </row>
    <row r="58" spans="1:14" s="1" customFormat="1" ht="12" customHeight="1" x14ac:dyDescent="0.2">
      <c r="B58" s="236" t="s">
        <v>138</v>
      </c>
      <c r="C58" s="237">
        <f>52200*2</f>
        <v>104400</v>
      </c>
      <c r="D58" s="226">
        <f>13.4/2</f>
        <v>6.7</v>
      </c>
      <c r="E58" s="237">
        <f>38400*2</f>
        <v>76800</v>
      </c>
      <c r="F58" s="318" t="s">
        <v>82</v>
      </c>
      <c r="G58" s="237">
        <f>13800*2</f>
        <v>27600</v>
      </c>
      <c r="H58" s="204" t="s">
        <v>82</v>
      </c>
    </row>
    <row r="59" spans="1:14" s="1" customFormat="1" ht="12" customHeight="1" x14ac:dyDescent="0.2">
      <c r="B59" s="236" t="s">
        <v>142</v>
      </c>
      <c r="C59" s="237">
        <v>106600</v>
      </c>
      <c r="D59" s="226">
        <v>7.7949999999999999</v>
      </c>
      <c r="E59" s="237">
        <v>84800</v>
      </c>
      <c r="F59" s="318" t="s">
        <v>82</v>
      </c>
      <c r="G59" s="237">
        <v>21800</v>
      </c>
      <c r="H59" s="204" t="s">
        <v>82</v>
      </c>
      <c r="I59" s="471">
        <f t="shared" ref="I59:N59" si="4">(C59-C58)/C58</f>
        <v>2.1072796934865901E-2</v>
      </c>
      <c r="J59" s="404">
        <f t="shared" si="4"/>
        <v>0.16343283582089549</v>
      </c>
      <c r="K59" s="404">
        <f t="shared" si="4"/>
        <v>0.10416666666666667</v>
      </c>
      <c r="L59" s="404" t="e">
        <f t="shared" si="4"/>
        <v>#VALUE!</v>
      </c>
      <c r="M59" s="404">
        <f t="shared" si="4"/>
        <v>-0.21014492753623187</v>
      </c>
      <c r="N59" s="404" t="e">
        <f t="shared" si="4"/>
        <v>#VALUE!</v>
      </c>
    </row>
    <row r="60" spans="1:14" s="1" customFormat="1" ht="3" customHeight="1" x14ac:dyDescent="0.2">
      <c r="A60" s="502"/>
      <c r="B60" s="503"/>
      <c r="C60" s="504"/>
      <c r="D60" s="505"/>
      <c r="E60" s="504"/>
      <c r="F60" s="505"/>
      <c r="G60" s="504"/>
      <c r="H60" s="506"/>
    </row>
    <row r="61" spans="1:14" s="1" customFormat="1" ht="6" customHeight="1" x14ac:dyDescent="0.2">
      <c r="A61" s="138"/>
      <c r="B61" s="239"/>
      <c r="C61" s="219"/>
      <c r="D61" s="220"/>
      <c r="E61" s="219"/>
      <c r="F61" s="220"/>
      <c r="G61" s="219"/>
      <c r="H61" s="317"/>
    </row>
    <row r="62" spans="1:14" s="1" customFormat="1" ht="12" customHeight="1" x14ac:dyDescent="0.2">
      <c r="A62" s="110" t="s">
        <v>53</v>
      </c>
      <c r="B62" s="239" t="s">
        <v>56</v>
      </c>
      <c r="C62" s="219">
        <v>21200</v>
      </c>
      <c r="D62" s="220" t="s">
        <v>82</v>
      </c>
      <c r="E62" s="219">
        <v>18200</v>
      </c>
      <c r="F62" s="220" t="s">
        <v>82</v>
      </c>
      <c r="G62" s="219">
        <v>3000</v>
      </c>
      <c r="H62" s="317" t="s">
        <v>82</v>
      </c>
    </row>
    <row r="63" spans="1:14" s="1" customFormat="1" ht="12" customHeight="1" x14ac:dyDescent="0.2">
      <c r="A63" s="240" t="s">
        <v>54</v>
      </c>
      <c r="B63" s="239" t="s">
        <v>57</v>
      </c>
      <c r="C63" s="219">
        <v>21600</v>
      </c>
      <c r="D63" s="220" t="s">
        <v>82</v>
      </c>
      <c r="E63" s="219">
        <v>18600</v>
      </c>
      <c r="F63" s="220" t="s">
        <v>82</v>
      </c>
      <c r="G63" s="219">
        <v>3000</v>
      </c>
      <c r="H63" s="317" t="s">
        <v>82</v>
      </c>
    </row>
    <row r="64" spans="1:14" s="1" customFormat="1" ht="12" customHeight="1" x14ac:dyDescent="0.2">
      <c r="A64" s="240" t="s">
        <v>55</v>
      </c>
      <c r="B64" s="239" t="s">
        <v>60</v>
      </c>
      <c r="C64" s="219">
        <v>26000</v>
      </c>
      <c r="D64" s="220" t="s">
        <v>82</v>
      </c>
      <c r="E64" s="219">
        <v>22700</v>
      </c>
      <c r="F64" s="220" t="s">
        <v>82</v>
      </c>
      <c r="G64" s="219">
        <v>3300</v>
      </c>
      <c r="H64" s="317" t="s">
        <v>82</v>
      </c>
    </row>
    <row r="65" spans="1:14" s="1" customFormat="1" ht="12" customHeight="1" x14ac:dyDescent="0.2">
      <c r="A65" s="241"/>
      <c r="B65" s="239" t="s">
        <v>64</v>
      </c>
      <c r="C65" s="219">
        <v>29400</v>
      </c>
      <c r="D65" s="220" t="s">
        <v>82</v>
      </c>
      <c r="E65" s="219">
        <v>25620</v>
      </c>
      <c r="F65" s="220" t="s">
        <v>82</v>
      </c>
      <c r="G65" s="219">
        <v>3780</v>
      </c>
      <c r="H65" s="92" t="s">
        <v>82</v>
      </c>
    </row>
    <row r="66" spans="1:14" s="1" customFormat="1" ht="12" customHeight="1" x14ac:dyDescent="0.2">
      <c r="A66" s="241"/>
      <c r="B66" s="236" t="s">
        <v>81</v>
      </c>
      <c r="C66" s="237">
        <v>37400</v>
      </c>
      <c r="D66" s="238" t="s">
        <v>82</v>
      </c>
      <c r="E66" s="237">
        <v>27760</v>
      </c>
      <c r="F66" s="238" t="s">
        <v>82</v>
      </c>
      <c r="G66" s="237">
        <v>9640</v>
      </c>
      <c r="H66" s="310" t="s">
        <v>82</v>
      </c>
    </row>
    <row r="67" spans="1:14" s="1" customFormat="1" ht="12" customHeight="1" x14ac:dyDescent="0.2">
      <c r="A67" s="241"/>
      <c r="B67" s="236" t="s">
        <v>88</v>
      </c>
      <c r="C67" s="237">
        <v>43400</v>
      </c>
      <c r="D67" s="238" t="s">
        <v>82</v>
      </c>
      <c r="E67" s="237">
        <v>29000</v>
      </c>
      <c r="F67" s="238" t="s">
        <v>82</v>
      </c>
      <c r="G67" s="237">
        <v>14400</v>
      </c>
      <c r="H67" s="310" t="s">
        <v>82</v>
      </c>
    </row>
    <row r="68" spans="1:14" s="1" customFormat="1" ht="12" customHeight="1" x14ac:dyDescent="0.2">
      <c r="A68" s="242"/>
      <c r="B68" s="236" t="s">
        <v>90</v>
      </c>
      <c r="C68" s="237">
        <v>47600</v>
      </c>
      <c r="D68" s="238">
        <v>11.18</v>
      </c>
      <c r="E68" s="237">
        <v>32400</v>
      </c>
      <c r="F68" s="238" t="s">
        <v>82</v>
      </c>
      <c r="G68" s="237">
        <v>15200</v>
      </c>
      <c r="H68" s="310" t="s">
        <v>82</v>
      </c>
    </row>
    <row r="69" spans="1:14" s="1" customFormat="1" ht="12" customHeight="1" x14ac:dyDescent="0.2">
      <c r="A69" s="40"/>
      <c r="B69" s="236" t="s">
        <v>94</v>
      </c>
      <c r="C69" s="237">
        <v>38400</v>
      </c>
      <c r="D69" s="318">
        <v>14.48</v>
      </c>
      <c r="E69" s="237">
        <v>29600</v>
      </c>
      <c r="F69" s="238" t="s">
        <v>82</v>
      </c>
      <c r="G69" s="237">
        <v>8800</v>
      </c>
      <c r="H69" s="310" t="s">
        <v>82</v>
      </c>
    </row>
    <row r="70" spans="1:14" s="1" customFormat="1" ht="12" customHeight="1" x14ac:dyDescent="0.2">
      <c r="A70" s="40"/>
      <c r="B70" s="236" t="s">
        <v>138</v>
      </c>
      <c r="C70" s="237">
        <f>26500*2</f>
        <v>53000</v>
      </c>
      <c r="D70" s="226">
        <f>25.65/2</f>
        <v>12.824999999999999</v>
      </c>
      <c r="E70" s="237">
        <f>18300*2</f>
        <v>36600</v>
      </c>
      <c r="F70" s="238" t="s">
        <v>82</v>
      </c>
      <c r="G70" s="237">
        <f>8200*2</f>
        <v>16400</v>
      </c>
      <c r="H70" s="310" t="s">
        <v>82</v>
      </c>
    </row>
    <row r="71" spans="1:14" s="1" customFormat="1" ht="12" customHeight="1" x14ac:dyDescent="0.2">
      <c r="A71" s="40"/>
      <c r="B71" s="236" t="s">
        <v>142</v>
      </c>
      <c r="C71" s="237">
        <v>44000</v>
      </c>
      <c r="D71" s="226">
        <v>17.885000000000002</v>
      </c>
      <c r="E71" s="237">
        <v>34000</v>
      </c>
      <c r="F71" s="238" t="s">
        <v>82</v>
      </c>
      <c r="G71" s="237">
        <v>10000</v>
      </c>
      <c r="H71" s="310" t="s">
        <v>82</v>
      </c>
      <c r="I71" s="471">
        <f t="shared" ref="I71:N71" si="5">(C71-C70)/C70</f>
        <v>-0.16981132075471697</v>
      </c>
      <c r="J71" s="404">
        <f t="shared" si="5"/>
        <v>0.39454191033138419</v>
      </c>
      <c r="K71" s="404">
        <f t="shared" si="5"/>
        <v>-7.1038251366120214E-2</v>
      </c>
      <c r="L71" s="404" t="e">
        <f t="shared" si="5"/>
        <v>#VALUE!</v>
      </c>
      <c r="M71" s="404">
        <f t="shared" si="5"/>
        <v>-0.3902439024390244</v>
      </c>
      <c r="N71" s="404" t="e">
        <f t="shared" si="5"/>
        <v>#VALUE!</v>
      </c>
    </row>
    <row r="72" spans="1:14" s="1" customFormat="1" ht="3" customHeight="1" thickBot="1" x14ac:dyDescent="0.25">
      <c r="A72" s="244"/>
      <c r="B72" s="245"/>
      <c r="C72" s="246"/>
      <c r="D72" s="247"/>
      <c r="E72" s="246"/>
      <c r="F72" s="247"/>
      <c r="G72" s="246"/>
      <c r="H72" s="248"/>
    </row>
    <row r="73" spans="1:14" s="164" customFormat="1" ht="13.5" customHeight="1" x14ac:dyDescent="0.15">
      <c r="A73" s="551" t="s">
        <v>209</v>
      </c>
      <c r="B73" s="528"/>
      <c r="C73" s="528"/>
      <c r="D73" s="528"/>
      <c r="E73" s="528"/>
      <c r="F73" s="528"/>
      <c r="G73" s="528"/>
      <c r="H73" s="528"/>
    </row>
    <row r="74" spans="1:14" s="164" customFormat="1" ht="12" customHeight="1" x14ac:dyDescent="0.2">
      <c r="A74" s="559" t="s">
        <v>210</v>
      </c>
      <c r="B74" s="559"/>
      <c r="C74" s="559"/>
      <c r="D74" s="559"/>
      <c r="E74" s="559"/>
      <c r="F74" s="559"/>
      <c r="G74" s="559"/>
      <c r="H74" s="520"/>
    </row>
    <row r="75" spans="1:14" s="164" customFormat="1" ht="12" customHeight="1" x14ac:dyDescent="0.2">
      <c r="A75" s="550" t="s">
        <v>212</v>
      </c>
      <c r="B75" s="550"/>
      <c r="C75" s="550"/>
      <c r="D75" s="550"/>
      <c r="E75" s="550"/>
      <c r="F75" s="550"/>
      <c r="G75" s="550"/>
      <c r="H75" s="529"/>
    </row>
    <row r="76" spans="1:14" s="164" customFormat="1" ht="12" customHeight="1" x14ac:dyDescent="0.2">
      <c r="A76" s="550" t="s">
        <v>211</v>
      </c>
      <c r="B76" s="550"/>
      <c r="C76" s="550"/>
      <c r="D76" s="550"/>
      <c r="E76" s="550"/>
      <c r="F76" s="550"/>
      <c r="G76" s="550"/>
      <c r="H76" s="529"/>
    </row>
    <row r="77" spans="1:14" s="164" customFormat="1" ht="12" customHeight="1" x14ac:dyDescent="0.2">
      <c r="A77" s="517" t="s">
        <v>87</v>
      </c>
      <c r="B77" s="521"/>
      <c r="C77" s="522"/>
      <c r="D77" s="523"/>
      <c r="E77" s="522"/>
      <c r="F77" s="524"/>
      <c r="G77" s="522"/>
      <c r="H77" s="524"/>
    </row>
    <row r="78" spans="1:14" s="42" customFormat="1" ht="12" customHeight="1" x14ac:dyDescent="0.2">
      <c r="H78" s="235"/>
    </row>
    <row r="79" spans="1:14" s="1" customFormat="1" ht="21.75" customHeight="1" x14ac:dyDescent="0.25">
      <c r="A79" s="251"/>
      <c r="B79" s="90"/>
      <c r="C79" s="75"/>
      <c r="D79" s="91"/>
      <c r="E79" s="75"/>
      <c r="F79" s="76"/>
      <c r="G79" s="75"/>
      <c r="H79" s="76"/>
    </row>
    <row r="80" spans="1:14" s="42" customFormat="1" ht="9.9499999999999993" customHeight="1" x14ac:dyDescent="0.2">
      <c r="A80" s="88"/>
      <c r="B80" s="88"/>
      <c r="C80" s="88"/>
      <c r="D80" s="88"/>
      <c r="E80" s="88"/>
      <c r="F80" s="88"/>
      <c r="G80" s="88"/>
      <c r="H80" s="88"/>
    </row>
    <row r="81" spans="1:8" s="42" customFormat="1" ht="9.9499999999999993" customHeight="1" x14ac:dyDescent="0.2">
      <c r="A81" s="88"/>
      <c r="B81" s="88"/>
      <c r="C81" s="88"/>
      <c r="D81" s="88"/>
      <c r="E81" s="88"/>
      <c r="F81" s="88"/>
      <c r="G81" s="88"/>
      <c r="H81" s="88"/>
    </row>
    <row r="82" spans="1:8" s="42" customFormat="1" ht="9.9499999999999993" customHeight="1" x14ac:dyDescent="0.2">
      <c r="A82" s="88"/>
      <c r="B82" s="88"/>
      <c r="C82" s="88"/>
      <c r="D82" s="88"/>
      <c r="E82" s="88"/>
      <c r="F82" s="88"/>
      <c r="G82" s="88"/>
      <c r="H82" s="88"/>
    </row>
    <row r="83" spans="1:8" s="42" customFormat="1" ht="9.9499999999999993" customHeight="1" x14ac:dyDescent="0.2">
      <c r="A83" s="6"/>
      <c r="B83" s="19"/>
      <c r="C83" s="8"/>
      <c r="D83" s="12"/>
      <c r="E83" s="8"/>
      <c r="F83" s="12"/>
      <c r="G83" s="20"/>
      <c r="H83" s="12"/>
    </row>
    <row r="84" spans="1:8" s="42" customFormat="1" ht="9.9499999999999993" customHeight="1" x14ac:dyDescent="0.2">
      <c r="A84" s="6"/>
      <c r="B84" s="19"/>
      <c r="C84" s="8"/>
      <c r="D84" s="20"/>
      <c r="E84" s="8"/>
      <c r="F84" s="20"/>
      <c r="G84" s="20"/>
      <c r="H84" s="20"/>
    </row>
    <row r="85" spans="1:8" s="42" customFormat="1" ht="9.9499999999999993" customHeight="1" x14ac:dyDescent="0.2">
      <c r="A85" s="6"/>
      <c r="B85" s="19"/>
      <c r="C85" s="43"/>
      <c r="D85" s="20"/>
      <c r="E85" s="43"/>
      <c r="F85" s="20"/>
      <c r="G85" s="44"/>
      <c r="H85" s="20"/>
    </row>
    <row r="86" spans="1:8" s="42" customFormat="1" ht="9.9499999999999993" customHeight="1" x14ac:dyDescent="0.2">
      <c r="A86" s="6"/>
    </row>
    <row r="87" spans="1:8" s="42" customFormat="1" ht="9.9499999999999993" customHeight="1" x14ac:dyDescent="0.2">
      <c r="A87" s="48"/>
      <c r="C87" s="41"/>
      <c r="D87" s="41"/>
      <c r="E87" s="41"/>
      <c r="F87" s="41"/>
      <c r="G87" s="41"/>
      <c r="H87" s="41"/>
    </row>
    <row r="88" spans="1:8" s="42" customFormat="1" ht="9.9499999999999993" customHeight="1" x14ac:dyDescent="0.2">
      <c r="A88" s="86"/>
      <c r="B88" s="86"/>
      <c r="C88" s="86"/>
      <c r="D88" s="86"/>
      <c r="E88" s="86"/>
      <c r="F88" s="86"/>
    </row>
    <row r="89" spans="1:8" s="42" customFormat="1" ht="9.9499999999999993" customHeight="1" x14ac:dyDescent="0.2">
      <c r="A89" s="86"/>
      <c r="B89" s="89"/>
      <c r="C89" s="89"/>
      <c r="D89" s="89"/>
      <c r="E89" s="89"/>
      <c r="F89" s="89"/>
      <c r="G89" s="21"/>
    </row>
    <row r="90" spans="1:8" s="42" customFormat="1" ht="9.9499999999999993" customHeight="1" x14ac:dyDescent="0.2">
      <c r="A90" s="86"/>
      <c r="B90" s="89"/>
      <c r="C90" s="89"/>
      <c r="D90" s="89"/>
      <c r="E90" s="89"/>
      <c r="F90" s="89"/>
      <c r="G90" s="21"/>
    </row>
    <row r="91" spans="1:8" s="42" customFormat="1" ht="9.9499999999999993" customHeight="1" x14ac:dyDescent="0.2"/>
    <row r="92" spans="1:8" s="42" customFormat="1" ht="9.9499999999999993" customHeight="1" x14ac:dyDescent="0.2"/>
    <row r="93" spans="1:8" s="42" customFormat="1" ht="9.9499999999999993" customHeight="1" x14ac:dyDescent="0.2"/>
    <row r="94" spans="1:8" s="42" customFormat="1" ht="9.9499999999999993" customHeight="1" x14ac:dyDescent="0.2"/>
    <row r="95" spans="1:8" s="42" customFormat="1" ht="9.9499999999999993" customHeight="1" x14ac:dyDescent="0.2"/>
    <row r="96" spans="1:8" s="42" customFormat="1" ht="9.9499999999999993" customHeight="1" x14ac:dyDescent="0.2"/>
    <row r="97" s="42" customFormat="1" ht="9.9499999999999993" customHeight="1" x14ac:dyDescent="0.2"/>
    <row r="98" s="42" customFormat="1" ht="9.9499999999999993" customHeight="1" x14ac:dyDescent="0.2"/>
    <row r="99" s="42" customFormat="1" ht="9.9499999999999993" customHeight="1" x14ac:dyDescent="0.2"/>
    <row r="100" s="42" customFormat="1" ht="9.9499999999999993" customHeight="1" x14ac:dyDescent="0.2"/>
    <row r="101" s="42" customFormat="1" ht="9.9499999999999993" customHeight="1" x14ac:dyDescent="0.2"/>
    <row r="102" s="42" customFormat="1" ht="9.9499999999999993" customHeight="1" x14ac:dyDescent="0.2"/>
    <row r="103" s="42" customFormat="1" ht="9.9499999999999993" customHeight="1" x14ac:dyDescent="0.2"/>
    <row r="104" s="42" customFormat="1" ht="9.9499999999999993" customHeight="1" x14ac:dyDescent="0.2"/>
    <row r="105" s="42" customFormat="1" ht="9.9499999999999993" customHeight="1" x14ac:dyDescent="0.2"/>
    <row r="106" s="42" customFormat="1" ht="9.9499999999999993" customHeight="1" x14ac:dyDescent="0.2"/>
    <row r="107" s="42" customFormat="1" ht="9.9499999999999993" customHeight="1" x14ac:dyDescent="0.2"/>
    <row r="108" s="42" customFormat="1" ht="9.9499999999999993" customHeight="1" x14ac:dyDescent="0.2"/>
    <row r="109" s="42" customFormat="1" ht="9.9499999999999993" customHeight="1" x14ac:dyDescent="0.2"/>
    <row r="110" s="42" customFormat="1" ht="9.9499999999999993" customHeight="1" x14ac:dyDescent="0.2"/>
    <row r="111" s="42" customFormat="1" ht="9.9499999999999993" customHeight="1" x14ac:dyDescent="0.2"/>
    <row r="112" s="42" customFormat="1" ht="9.9499999999999993" customHeight="1" x14ac:dyDescent="0.2"/>
    <row r="113" s="42" customFormat="1" ht="9.9499999999999993" customHeight="1" x14ac:dyDescent="0.2"/>
    <row r="114" s="42" customFormat="1" ht="9.9499999999999993" customHeight="1" x14ac:dyDescent="0.2"/>
    <row r="115" s="42" customFormat="1" ht="9.9499999999999993" customHeight="1" x14ac:dyDescent="0.2"/>
    <row r="116" s="42" customFormat="1" ht="9.9499999999999993" customHeight="1" x14ac:dyDescent="0.2"/>
    <row r="117" s="42" customFormat="1" ht="9.9499999999999993" customHeight="1" x14ac:dyDescent="0.2"/>
    <row r="118" s="42" customFormat="1" ht="9.9499999999999993" customHeight="1" x14ac:dyDescent="0.2"/>
    <row r="119" s="42" customFormat="1" ht="9.9499999999999993" customHeight="1" x14ac:dyDescent="0.2"/>
    <row r="120" s="42" customFormat="1" ht="9.9499999999999993" customHeight="1" x14ac:dyDescent="0.2"/>
    <row r="121" s="42" customFormat="1" ht="9.9499999999999993" customHeight="1" x14ac:dyDescent="0.2"/>
    <row r="122" s="42" customFormat="1" ht="9.9499999999999993" customHeight="1" x14ac:dyDescent="0.2"/>
    <row r="123" s="42" customFormat="1" ht="9.9499999999999993" customHeight="1" x14ac:dyDescent="0.2"/>
    <row r="124" s="42" customFormat="1" ht="9.9499999999999993" customHeight="1" x14ac:dyDescent="0.2"/>
    <row r="125" s="42" customFormat="1" ht="9.9499999999999993" customHeight="1" x14ac:dyDescent="0.2"/>
    <row r="126" s="42" customFormat="1" ht="9.9499999999999993" customHeight="1" x14ac:dyDescent="0.2"/>
    <row r="127" s="42" customFormat="1" ht="9.9499999999999993" customHeight="1" x14ac:dyDescent="0.2"/>
    <row r="128" s="42" customFormat="1" ht="9.9499999999999993" customHeight="1" x14ac:dyDescent="0.2"/>
    <row r="129" s="42" customFormat="1" ht="9.9499999999999993" customHeight="1" x14ac:dyDescent="0.2"/>
    <row r="130" s="42" customFormat="1" ht="9.9499999999999993" customHeight="1" x14ac:dyDescent="0.2"/>
    <row r="131" s="42" customFormat="1" ht="9.9499999999999993" customHeight="1" x14ac:dyDescent="0.2"/>
    <row r="132" s="42" customFormat="1" ht="9.9499999999999993" customHeight="1" x14ac:dyDescent="0.2"/>
    <row r="133" s="42" customFormat="1" ht="9.9499999999999993" customHeight="1" x14ac:dyDescent="0.2"/>
    <row r="134" s="42" customFormat="1" ht="9.9499999999999993" customHeight="1" x14ac:dyDescent="0.2"/>
    <row r="135" s="42" customFormat="1" ht="9.9499999999999993" customHeight="1" x14ac:dyDescent="0.2"/>
    <row r="136" s="42" customFormat="1" ht="9.9499999999999993" customHeight="1" x14ac:dyDescent="0.2"/>
    <row r="137" s="42" customFormat="1" ht="9.9499999999999993" customHeight="1" x14ac:dyDescent="0.2"/>
    <row r="138" s="42" customFormat="1" ht="9.9499999999999993" customHeight="1" x14ac:dyDescent="0.2"/>
    <row r="139" s="42" customFormat="1" ht="9.9499999999999993" customHeight="1" x14ac:dyDescent="0.2"/>
    <row r="140" s="42" customFormat="1" ht="9.9499999999999993" customHeight="1" x14ac:dyDescent="0.2"/>
    <row r="141" s="42" customFormat="1" ht="9.9499999999999993" customHeight="1" x14ac:dyDescent="0.2"/>
    <row r="142" s="42" customFormat="1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  <row r="170" ht="9.9499999999999993" customHeight="1" x14ac:dyDescent="0.2"/>
    <row r="171" ht="9.9499999999999993" customHeight="1" x14ac:dyDescent="0.2"/>
    <row r="172" ht="9.9499999999999993" customHeight="1" x14ac:dyDescent="0.2"/>
    <row r="173" ht="9.9499999999999993" customHeight="1" x14ac:dyDescent="0.2"/>
    <row r="174" ht="9.9499999999999993" customHeight="1" x14ac:dyDescent="0.2"/>
    <row r="175" ht="9.9499999999999993" customHeight="1" x14ac:dyDescent="0.2"/>
    <row r="176" ht="9.9499999999999993" customHeight="1" x14ac:dyDescent="0.2"/>
    <row r="177" ht="9.9499999999999993" customHeight="1" x14ac:dyDescent="0.2"/>
    <row r="178" ht="9.9499999999999993" customHeight="1" x14ac:dyDescent="0.2"/>
    <row r="179" ht="9.9499999999999993" customHeight="1" x14ac:dyDescent="0.2"/>
    <row r="180" ht="9.9499999999999993" customHeight="1" x14ac:dyDescent="0.2"/>
    <row r="181" ht="9.9499999999999993" customHeight="1" x14ac:dyDescent="0.2"/>
    <row r="182" ht="9.9499999999999993" customHeight="1" x14ac:dyDescent="0.2"/>
    <row r="183" ht="9.9499999999999993" customHeight="1" x14ac:dyDescent="0.2"/>
    <row r="184" ht="9.9499999999999993" customHeight="1" x14ac:dyDescent="0.2"/>
    <row r="185" ht="9.9499999999999993" customHeight="1" x14ac:dyDescent="0.2"/>
    <row r="186" ht="9.9499999999999993" customHeight="1" x14ac:dyDescent="0.2"/>
    <row r="187" ht="9.9499999999999993" customHeight="1" x14ac:dyDescent="0.2"/>
    <row r="188" ht="9.9499999999999993" customHeight="1" x14ac:dyDescent="0.2"/>
    <row r="189" ht="9.9499999999999993" customHeight="1" x14ac:dyDescent="0.2"/>
  </sheetData>
  <mergeCells count="10">
    <mergeCell ref="A74:G74"/>
    <mergeCell ref="I2:J2"/>
    <mergeCell ref="K2:L2"/>
    <mergeCell ref="M2:N2"/>
    <mergeCell ref="A1:H1"/>
    <mergeCell ref="A2:A4"/>
    <mergeCell ref="B2:B4"/>
    <mergeCell ref="C2:D2"/>
    <mergeCell ref="E2:F2"/>
    <mergeCell ref="G2:H2"/>
  </mergeCells>
  <phoneticPr fontId="2" type="noConversion"/>
  <printOptions horizontalCentered="1"/>
  <pageMargins left="0.5" right="0.5" top="0.5" bottom="0.25" header="0.5" footer="0.5"/>
  <pageSetup firstPageNumber="43" fitToHeight="0" orientation="portrait" useFirstPageNumber="1" r:id="rId1"/>
  <headerFooter alignWithMargins="0"/>
  <rowBreaks count="1" manualBreakCount="1">
    <brk id="6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2A6F1F"/>
    <pageSetUpPr fitToPage="1"/>
  </sheetPr>
  <dimension ref="A1:AB211"/>
  <sheetViews>
    <sheetView zoomScale="130" zoomScaleNormal="130" zoomScaleSheetLayoutView="130" workbookViewId="0">
      <selection sqref="A1:O1"/>
    </sheetView>
  </sheetViews>
  <sheetFormatPr defaultColWidth="9.140625" defaultRowHeight="9.9499999999999993" customHeight="1" x14ac:dyDescent="0.2"/>
  <cols>
    <col min="1" max="1" width="15.140625" style="6" customWidth="1"/>
    <col min="2" max="2" width="6.7109375" style="73" customWidth="1"/>
    <col min="3" max="14" width="5.7109375" style="1" customWidth="1"/>
    <col min="15" max="15" width="6.7109375" style="1" customWidth="1"/>
    <col min="16" max="16" width="20.85546875" style="1" customWidth="1"/>
    <col min="17" max="16384" width="9.140625" style="1"/>
  </cols>
  <sheetData>
    <row r="1" spans="1:16" ht="16.5" customHeight="1" x14ac:dyDescent="0.2">
      <c r="A1" s="558" t="s">
        <v>178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</row>
    <row r="2" spans="1:16" ht="22.5" customHeight="1" x14ac:dyDescent="0.2">
      <c r="A2" s="563" t="s">
        <v>20</v>
      </c>
      <c r="B2" s="563" t="s">
        <v>1</v>
      </c>
      <c r="C2" s="120" t="s">
        <v>14</v>
      </c>
      <c r="D2" s="121" t="s">
        <v>15</v>
      </c>
      <c r="E2" s="121" t="s">
        <v>4</v>
      </c>
      <c r="F2" s="121" t="s">
        <v>5</v>
      </c>
      <c r="G2" s="121" t="s">
        <v>6</v>
      </c>
      <c r="H2" s="121" t="s">
        <v>7</v>
      </c>
      <c r="I2" s="121" t="s">
        <v>8</v>
      </c>
      <c r="J2" s="121" t="s">
        <v>9</v>
      </c>
      <c r="K2" s="121" t="s">
        <v>10</v>
      </c>
      <c r="L2" s="121" t="s">
        <v>11</v>
      </c>
      <c r="M2" s="121" t="s">
        <v>12</v>
      </c>
      <c r="N2" s="121" t="s">
        <v>13</v>
      </c>
      <c r="O2" s="120" t="s">
        <v>16</v>
      </c>
    </row>
    <row r="3" spans="1:16" ht="9.75" customHeight="1" thickBot="1" x14ac:dyDescent="0.25">
      <c r="A3" s="576"/>
      <c r="B3" s="576"/>
      <c r="C3" s="575" t="s">
        <v>112</v>
      </c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</row>
    <row r="4" spans="1:16" ht="3.75" customHeight="1" x14ac:dyDescent="0.25">
      <c r="A4" s="139"/>
      <c r="B4" s="52"/>
      <c r="C4" s="5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 ht="10.5" customHeight="1" x14ac:dyDescent="0.2">
      <c r="A5" s="98" t="s">
        <v>27</v>
      </c>
      <c r="B5" s="55" t="s">
        <v>56</v>
      </c>
      <c r="C5" s="85">
        <v>4.8499999999999996</v>
      </c>
      <c r="D5" s="85">
        <v>5.85</v>
      </c>
      <c r="E5" s="85">
        <v>7.2</v>
      </c>
      <c r="F5" s="85">
        <v>3.2</v>
      </c>
      <c r="G5" s="85">
        <v>5.3</v>
      </c>
      <c r="H5" s="85">
        <v>7.3</v>
      </c>
      <c r="I5" s="85">
        <v>6.25</v>
      </c>
      <c r="J5" s="85">
        <v>5.8</v>
      </c>
      <c r="K5" s="85">
        <v>5.15</v>
      </c>
      <c r="L5" s="85">
        <v>4.5999999999999996</v>
      </c>
      <c r="M5" s="85">
        <v>5.8</v>
      </c>
      <c r="N5" s="85">
        <v>4.55</v>
      </c>
      <c r="O5" s="85">
        <v>5.7</v>
      </c>
    </row>
    <row r="6" spans="1:16" ht="10.5" customHeight="1" x14ac:dyDescent="0.2">
      <c r="A6" s="98"/>
      <c r="B6" s="55" t="s">
        <v>57</v>
      </c>
      <c r="C6" s="85">
        <v>2.7850000000000001</v>
      </c>
      <c r="D6" s="85">
        <v>3.9849999999999999</v>
      </c>
      <c r="E6" s="85">
        <v>4.8849999999999998</v>
      </c>
      <c r="F6" s="85">
        <v>5.335</v>
      </c>
      <c r="G6" s="85">
        <v>6.8849999999999998</v>
      </c>
      <c r="H6" s="85">
        <v>7.6849999999999996</v>
      </c>
      <c r="I6" s="85">
        <v>7.9850000000000003</v>
      </c>
      <c r="J6" s="85">
        <v>8.7850000000000001</v>
      </c>
      <c r="K6" s="85">
        <v>7.6849999999999996</v>
      </c>
      <c r="L6" s="85">
        <v>6.2350000000000003</v>
      </c>
      <c r="M6" s="85">
        <v>6.1349999999999998</v>
      </c>
      <c r="N6" s="85">
        <v>5.6349999999999998</v>
      </c>
      <c r="O6" s="85">
        <v>6.99</v>
      </c>
    </row>
    <row r="7" spans="1:16" ht="10.5" customHeight="1" x14ac:dyDescent="0.2">
      <c r="A7" s="98"/>
      <c r="B7" s="55" t="s">
        <v>60</v>
      </c>
      <c r="C7" s="85" t="s">
        <v>77</v>
      </c>
      <c r="D7" s="85" t="s">
        <v>77</v>
      </c>
      <c r="E7" s="85" t="s">
        <v>77</v>
      </c>
      <c r="F7" s="85" t="s">
        <v>77</v>
      </c>
      <c r="G7" s="85" t="s">
        <v>77</v>
      </c>
      <c r="H7" s="85" t="s">
        <v>77</v>
      </c>
      <c r="I7" s="85" t="s">
        <v>77</v>
      </c>
      <c r="J7" s="85" t="s">
        <v>77</v>
      </c>
      <c r="K7" s="85" t="s">
        <v>77</v>
      </c>
      <c r="L7" s="85" t="s">
        <v>77</v>
      </c>
      <c r="M7" s="85" t="s">
        <v>77</v>
      </c>
      <c r="N7" s="85" t="s">
        <v>77</v>
      </c>
      <c r="O7" s="85" t="s">
        <v>82</v>
      </c>
    </row>
    <row r="8" spans="1:16" ht="10.5" customHeight="1" x14ac:dyDescent="0.2">
      <c r="A8" s="98"/>
      <c r="B8" s="55" t="s">
        <v>64</v>
      </c>
      <c r="C8" s="156" t="s">
        <v>77</v>
      </c>
      <c r="D8" s="156" t="s">
        <v>77</v>
      </c>
      <c r="E8" s="156" t="s">
        <v>77</v>
      </c>
      <c r="F8" s="156" t="s">
        <v>77</v>
      </c>
      <c r="G8" s="156" t="s">
        <v>77</v>
      </c>
      <c r="H8" s="156" t="s">
        <v>77</v>
      </c>
      <c r="I8" s="156" t="s">
        <v>77</v>
      </c>
      <c r="J8" s="156" t="s">
        <v>77</v>
      </c>
      <c r="K8" s="156" t="s">
        <v>77</v>
      </c>
      <c r="L8" s="156" t="s">
        <v>77</v>
      </c>
      <c r="M8" s="156" t="s">
        <v>77</v>
      </c>
      <c r="N8" s="156" t="s">
        <v>77</v>
      </c>
      <c r="O8" s="156" t="s">
        <v>82</v>
      </c>
      <c r="P8" s="314"/>
    </row>
    <row r="9" spans="1:16" ht="10.5" customHeight="1" x14ac:dyDescent="0.2">
      <c r="A9" s="98"/>
      <c r="B9" s="225" t="s">
        <v>81</v>
      </c>
      <c r="C9" s="254" t="s">
        <v>77</v>
      </c>
      <c r="D9" s="254" t="s">
        <v>77</v>
      </c>
      <c r="E9" s="254" t="s">
        <v>77</v>
      </c>
      <c r="F9" s="254" t="s">
        <v>77</v>
      </c>
      <c r="G9" s="254" t="s">
        <v>77</v>
      </c>
      <c r="H9" s="254" t="s">
        <v>77</v>
      </c>
      <c r="I9" s="254" t="s">
        <v>77</v>
      </c>
      <c r="J9" s="254" t="s">
        <v>77</v>
      </c>
      <c r="K9" s="254" t="s">
        <v>77</v>
      </c>
      <c r="L9" s="254" t="s">
        <v>77</v>
      </c>
      <c r="M9" s="254" t="s">
        <v>77</v>
      </c>
      <c r="N9" s="254" t="s">
        <v>77</v>
      </c>
      <c r="O9" s="254" t="s">
        <v>82</v>
      </c>
    </row>
    <row r="10" spans="1:16" ht="10.5" customHeight="1" x14ac:dyDescent="0.2">
      <c r="A10" s="98"/>
      <c r="B10" s="225" t="s">
        <v>88</v>
      </c>
      <c r="C10" s="254" t="s">
        <v>77</v>
      </c>
      <c r="D10" s="254" t="s">
        <v>77</v>
      </c>
      <c r="E10" s="254" t="s">
        <v>77</v>
      </c>
      <c r="F10" s="254" t="s">
        <v>77</v>
      </c>
      <c r="G10" s="254" t="s">
        <v>77</v>
      </c>
      <c r="H10" s="254" t="s">
        <v>77</v>
      </c>
      <c r="I10" s="254" t="s">
        <v>77</v>
      </c>
      <c r="J10" s="254" t="s">
        <v>77</v>
      </c>
      <c r="K10" s="254" t="s">
        <v>77</v>
      </c>
      <c r="L10" s="254" t="s">
        <v>77</v>
      </c>
      <c r="M10" s="254" t="s">
        <v>77</v>
      </c>
      <c r="N10" s="254" t="s">
        <v>77</v>
      </c>
      <c r="O10" s="254" t="s">
        <v>82</v>
      </c>
    </row>
    <row r="11" spans="1:16" ht="10.5" customHeight="1" x14ac:dyDescent="0.2">
      <c r="A11" s="98"/>
      <c r="B11" s="225" t="s">
        <v>90</v>
      </c>
      <c r="C11" s="254" t="s">
        <v>77</v>
      </c>
      <c r="D11" s="254" t="s">
        <v>77</v>
      </c>
      <c r="E11" s="254" t="s">
        <v>77</v>
      </c>
      <c r="F11" s="254" t="s">
        <v>77</v>
      </c>
      <c r="G11" s="254" t="s">
        <v>77</v>
      </c>
      <c r="H11" s="254" t="s">
        <v>77</v>
      </c>
      <c r="I11" s="254" t="s">
        <v>77</v>
      </c>
      <c r="J11" s="254" t="s">
        <v>77</v>
      </c>
      <c r="K11" s="254" t="s">
        <v>77</v>
      </c>
      <c r="L11" s="254" t="s">
        <v>77</v>
      </c>
      <c r="M11" s="254" t="s">
        <v>77</v>
      </c>
      <c r="N11" s="254" t="s">
        <v>77</v>
      </c>
      <c r="O11" s="254" t="s">
        <v>82</v>
      </c>
      <c r="P11" s="40"/>
    </row>
    <row r="12" spans="1:16" ht="10.5" customHeight="1" x14ac:dyDescent="0.2">
      <c r="A12" s="98"/>
      <c r="B12" s="225" t="s">
        <v>94</v>
      </c>
      <c r="C12" s="254" t="s">
        <v>77</v>
      </c>
      <c r="D12" s="254" t="s">
        <v>77</v>
      </c>
      <c r="E12" s="254" t="s">
        <v>77</v>
      </c>
      <c r="F12" s="254" t="s">
        <v>77</v>
      </c>
      <c r="G12" s="254" t="s">
        <v>77</v>
      </c>
      <c r="H12" s="254" t="s">
        <v>77</v>
      </c>
      <c r="I12" s="254" t="s">
        <v>77</v>
      </c>
      <c r="J12" s="254" t="s">
        <v>77</v>
      </c>
      <c r="K12" s="254" t="s">
        <v>77</v>
      </c>
      <c r="L12" s="254" t="s">
        <v>77</v>
      </c>
      <c r="M12" s="254" t="s">
        <v>77</v>
      </c>
      <c r="N12" s="254" t="s">
        <v>77</v>
      </c>
      <c r="O12" s="254" t="s">
        <v>82</v>
      </c>
      <c r="P12" s="40"/>
    </row>
    <row r="13" spans="1:16" ht="10.5" customHeight="1" x14ac:dyDescent="0.2">
      <c r="A13" s="98"/>
      <c r="B13" s="225" t="s">
        <v>138</v>
      </c>
      <c r="C13" s="254" t="s">
        <v>77</v>
      </c>
      <c r="D13" s="254" t="s">
        <v>77</v>
      </c>
      <c r="E13" s="254" t="s">
        <v>77</v>
      </c>
      <c r="F13" s="254" t="s">
        <v>77</v>
      </c>
      <c r="G13" s="254" t="s">
        <v>77</v>
      </c>
      <c r="H13" s="254" t="s">
        <v>77</v>
      </c>
      <c r="I13" s="254" t="s">
        <v>77</v>
      </c>
      <c r="J13" s="254" t="s">
        <v>77</v>
      </c>
      <c r="K13" s="254" t="s">
        <v>77</v>
      </c>
      <c r="L13" s="254" t="s">
        <v>77</v>
      </c>
      <c r="M13" s="254" t="s">
        <v>77</v>
      </c>
      <c r="N13" s="254" t="s">
        <v>77</v>
      </c>
      <c r="O13" s="254" t="s">
        <v>82</v>
      </c>
      <c r="P13" s="40"/>
    </row>
    <row r="14" spans="1:16" ht="10.5" customHeight="1" x14ac:dyDescent="0.2">
      <c r="A14" s="98"/>
      <c r="B14" s="225" t="s">
        <v>142</v>
      </c>
      <c r="C14" s="254" t="s">
        <v>77</v>
      </c>
      <c r="D14" s="254" t="s">
        <v>77</v>
      </c>
      <c r="E14" s="254" t="s">
        <v>77</v>
      </c>
      <c r="F14" s="254" t="s">
        <v>77</v>
      </c>
      <c r="G14" s="254" t="s">
        <v>77</v>
      </c>
      <c r="H14" s="254" t="s">
        <v>77</v>
      </c>
      <c r="I14" s="254" t="s">
        <v>77</v>
      </c>
      <c r="J14" s="254" t="s">
        <v>77</v>
      </c>
      <c r="K14" s="254" t="s">
        <v>77</v>
      </c>
      <c r="L14" s="254" t="s">
        <v>77</v>
      </c>
      <c r="M14" s="254" t="s">
        <v>77</v>
      </c>
      <c r="N14" s="254" t="s">
        <v>77</v>
      </c>
      <c r="O14" s="254" t="s">
        <v>82</v>
      </c>
      <c r="P14" s="469"/>
    </row>
    <row r="15" spans="1:16" ht="6" customHeight="1" x14ac:dyDescent="0.2">
      <c r="A15" s="98"/>
      <c r="B15" s="225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4"/>
      <c r="P15" s="40"/>
    </row>
    <row r="16" spans="1:16" ht="10.5" customHeight="1" x14ac:dyDescent="0.2">
      <c r="A16" s="141" t="s">
        <v>67</v>
      </c>
      <c r="B16" s="225" t="s">
        <v>56</v>
      </c>
      <c r="C16" s="254" t="s">
        <v>77</v>
      </c>
      <c r="D16" s="254" t="s">
        <v>77</v>
      </c>
      <c r="E16" s="254" t="s">
        <v>77</v>
      </c>
      <c r="F16" s="254" t="s">
        <v>77</v>
      </c>
      <c r="G16" s="254" t="s">
        <v>77</v>
      </c>
      <c r="H16" s="254" t="s">
        <v>77</v>
      </c>
      <c r="I16" s="254" t="s">
        <v>77</v>
      </c>
      <c r="J16" s="254" t="s">
        <v>77</v>
      </c>
      <c r="K16" s="254" t="s">
        <v>77</v>
      </c>
      <c r="L16" s="254" t="s">
        <v>77</v>
      </c>
      <c r="M16" s="254" t="s">
        <v>77</v>
      </c>
      <c r="N16" s="254" t="s">
        <v>77</v>
      </c>
      <c r="O16" s="254" t="s">
        <v>77</v>
      </c>
      <c r="P16" s="40"/>
    </row>
    <row r="17" spans="1:16" ht="10.5" customHeight="1" x14ac:dyDescent="0.2">
      <c r="A17" s="98"/>
      <c r="B17" s="225" t="s">
        <v>57</v>
      </c>
      <c r="C17" s="254" t="s">
        <v>77</v>
      </c>
      <c r="D17" s="254" t="s">
        <v>77</v>
      </c>
      <c r="E17" s="254" t="s">
        <v>77</v>
      </c>
      <c r="F17" s="254" t="s">
        <v>77</v>
      </c>
      <c r="G17" s="254" t="s">
        <v>77</v>
      </c>
      <c r="H17" s="254" t="s">
        <v>77</v>
      </c>
      <c r="I17" s="254" t="s">
        <v>77</v>
      </c>
      <c r="J17" s="254" t="s">
        <v>77</v>
      </c>
      <c r="K17" s="254" t="s">
        <v>77</v>
      </c>
      <c r="L17" s="254" t="s">
        <v>77</v>
      </c>
      <c r="M17" s="254" t="s">
        <v>77</v>
      </c>
      <c r="N17" s="254" t="s">
        <v>77</v>
      </c>
      <c r="O17" s="254" t="s">
        <v>77</v>
      </c>
      <c r="P17" s="40"/>
    </row>
    <row r="18" spans="1:16" s="14" customFormat="1" ht="10.5" customHeight="1" x14ac:dyDescent="0.2">
      <c r="A18" s="98"/>
      <c r="B18" s="225" t="s">
        <v>60</v>
      </c>
      <c r="C18" s="254" t="s">
        <v>77</v>
      </c>
      <c r="D18" s="254" t="s">
        <v>77</v>
      </c>
      <c r="E18" s="254" t="s">
        <v>77</v>
      </c>
      <c r="F18" s="254" t="s">
        <v>77</v>
      </c>
      <c r="G18" s="254" t="s">
        <v>77</v>
      </c>
      <c r="H18" s="254" t="s">
        <v>77</v>
      </c>
      <c r="I18" s="254" t="s">
        <v>77</v>
      </c>
      <c r="J18" s="254" t="s">
        <v>77</v>
      </c>
      <c r="K18" s="254" t="s">
        <v>77</v>
      </c>
      <c r="L18" s="254" t="s">
        <v>77</v>
      </c>
      <c r="M18" s="254" t="s">
        <v>77</v>
      </c>
      <c r="N18" s="254" t="s">
        <v>77</v>
      </c>
      <c r="O18" s="254" t="s">
        <v>82</v>
      </c>
      <c r="P18" s="41"/>
    </row>
    <row r="19" spans="1:16" s="14" customFormat="1" ht="10.5" customHeight="1" x14ac:dyDescent="0.2">
      <c r="A19" s="98"/>
      <c r="B19" s="225" t="s">
        <v>64</v>
      </c>
      <c r="C19" s="254" t="s">
        <v>77</v>
      </c>
      <c r="D19" s="254" t="s">
        <v>77</v>
      </c>
      <c r="E19" s="254" t="s">
        <v>77</v>
      </c>
      <c r="F19" s="254" t="s">
        <v>77</v>
      </c>
      <c r="G19" s="254" t="s">
        <v>77</v>
      </c>
      <c r="H19" s="254" t="s">
        <v>77</v>
      </c>
      <c r="I19" s="254" t="s">
        <v>77</v>
      </c>
      <c r="J19" s="254" t="s">
        <v>77</v>
      </c>
      <c r="K19" s="254" t="s">
        <v>77</v>
      </c>
      <c r="L19" s="254" t="s">
        <v>77</v>
      </c>
      <c r="M19" s="254" t="s">
        <v>77</v>
      </c>
      <c r="N19" s="254" t="s">
        <v>77</v>
      </c>
      <c r="O19" s="254" t="s">
        <v>82</v>
      </c>
      <c r="P19" s="41"/>
    </row>
    <row r="20" spans="1:16" s="14" customFormat="1" ht="10.5" customHeight="1" x14ac:dyDescent="0.2">
      <c r="A20" s="98"/>
      <c r="B20" s="225" t="s">
        <v>81</v>
      </c>
      <c r="C20" s="254" t="s">
        <v>77</v>
      </c>
      <c r="D20" s="254" t="s">
        <v>77</v>
      </c>
      <c r="E20" s="254" t="s">
        <v>77</v>
      </c>
      <c r="F20" s="254" t="s">
        <v>77</v>
      </c>
      <c r="G20" s="254" t="s">
        <v>77</v>
      </c>
      <c r="H20" s="254" t="s">
        <v>77</v>
      </c>
      <c r="I20" s="254" t="s">
        <v>77</v>
      </c>
      <c r="J20" s="254" t="s">
        <v>77</v>
      </c>
      <c r="K20" s="254" t="s">
        <v>77</v>
      </c>
      <c r="L20" s="254" t="s">
        <v>77</v>
      </c>
      <c r="M20" s="254" t="s">
        <v>77</v>
      </c>
      <c r="N20" s="254" t="s">
        <v>77</v>
      </c>
      <c r="O20" s="254" t="s">
        <v>82</v>
      </c>
      <c r="P20" s="41"/>
    </row>
    <row r="21" spans="1:16" s="14" customFormat="1" ht="10.5" customHeight="1" x14ac:dyDescent="0.2">
      <c r="A21" s="98"/>
      <c r="B21" s="225" t="s">
        <v>88</v>
      </c>
      <c r="C21" s="254" t="s">
        <v>77</v>
      </c>
      <c r="D21" s="254" t="s">
        <v>77</v>
      </c>
      <c r="E21" s="254" t="s">
        <v>77</v>
      </c>
      <c r="F21" s="254" t="s">
        <v>77</v>
      </c>
      <c r="G21" s="254" t="s">
        <v>77</v>
      </c>
      <c r="H21" s="254" t="s">
        <v>77</v>
      </c>
      <c r="I21" s="254" t="s">
        <v>77</v>
      </c>
      <c r="J21" s="254" t="s">
        <v>77</v>
      </c>
      <c r="K21" s="254" t="s">
        <v>77</v>
      </c>
      <c r="L21" s="254" t="s">
        <v>77</v>
      </c>
      <c r="M21" s="254" t="s">
        <v>77</v>
      </c>
      <c r="N21" s="254" t="s">
        <v>77</v>
      </c>
      <c r="O21" s="254" t="s">
        <v>82</v>
      </c>
      <c r="P21" s="41"/>
    </row>
    <row r="22" spans="1:16" s="14" customFormat="1" ht="10.5" customHeight="1" x14ac:dyDescent="0.2">
      <c r="A22" s="98"/>
      <c r="B22" s="225" t="s">
        <v>90</v>
      </c>
      <c r="C22" s="254" t="s">
        <v>77</v>
      </c>
      <c r="D22" s="254" t="s">
        <v>77</v>
      </c>
      <c r="E22" s="254" t="s">
        <v>77</v>
      </c>
      <c r="F22" s="254" t="s">
        <v>77</v>
      </c>
      <c r="G22" s="254" t="s">
        <v>77</v>
      </c>
      <c r="H22" s="254" t="s">
        <v>77</v>
      </c>
      <c r="I22" s="254" t="s">
        <v>77</v>
      </c>
      <c r="J22" s="254" t="s">
        <v>77</v>
      </c>
      <c r="K22" s="254" t="s">
        <v>77</v>
      </c>
      <c r="L22" s="254" t="s">
        <v>77</v>
      </c>
      <c r="M22" s="254" t="s">
        <v>77</v>
      </c>
      <c r="N22" s="254" t="s">
        <v>77</v>
      </c>
      <c r="O22" s="254" t="s">
        <v>82</v>
      </c>
      <c r="P22" s="41"/>
    </row>
    <row r="23" spans="1:16" s="14" customFormat="1" ht="10.5" customHeight="1" x14ac:dyDescent="0.2">
      <c r="A23" s="98"/>
      <c r="B23" s="225" t="s">
        <v>94</v>
      </c>
      <c r="C23" s="254" t="s">
        <v>77</v>
      </c>
      <c r="D23" s="254" t="s">
        <v>77</v>
      </c>
      <c r="E23" s="254" t="s">
        <v>77</v>
      </c>
      <c r="F23" s="254" t="s">
        <v>77</v>
      </c>
      <c r="G23" s="254" t="s">
        <v>77</v>
      </c>
      <c r="H23" s="254" t="s">
        <v>77</v>
      </c>
      <c r="I23" s="254" t="s">
        <v>77</v>
      </c>
      <c r="J23" s="254" t="s">
        <v>77</v>
      </c>
      <c r="K23" s="254" t="s">
        <v>77</v>
      </c>
      <c r="L23" s="254" t="s">
        <v>77</v>
      </c>
      <c r="M23" s="254" t="s">
        <v>77</v>
      </c>
      <c r="N23" s="254" t="s">
        <v>77</v>
      </c>
      <c r="O23" s="254" t="s">
        <v>82</v>
      </c>
      <c r="P23" s="41"/>
    </row>
    <row r="24" spans="1:16" s="14" customFormat="1" ht="10.5" customHeight="1" x14ac:dyDescent="0.2">
      <c r="A24" s="98"/>
      <c r="B24" s="225" t="s">
        <v>138</v>
      </c>
      <c r="C24" s="254" t="s">
        <v>77</v>
      </c>
      <c r="D24" s="254" t="s">
        <v>77</v>
      </c>
      <c r="E24" s="254" t="s">
        <v>77</v>
      </c>
      <c r="F24" s="254" t="s">
        <v>77</v>
      </c>
      <c r="G24" s="254" t="s">
        <v>77</v>
      </c>
      <c r="H24" s="254" t="s">
        <v>77</v>
      </c>
      <c r="I24" s="254" t="s">
        <v>77</v>
      </c>
      <c r="J24" s="254" t="s">
        <v>77</v>
      </c>
      <c r="K24" s="254" t="s">
        <v>77</v>
      </c>
      <c r="L24" s="254" t="s">
        <v>77</v>
      </c>
      <c r="M24" s="254" t="s">
        <v>77</v>
      </c>
      <c r="N24" s="254" t="s">
        <v>77</v>
      </c>
      <c r="O24" s="254" t="s">
        <v>82</v>
      </c>
      <c r="P24" s="41"/>
    </row>
    <row r="25" spans="1:16" s="42" customFormat="1" ht="10.5" customHeight="1" x14ac:dyDescent="0.2">
      <c r="A25" s="98"/>
      <c r="B25" s="225" t="s">
        <v>142</v>
      </c>
      <c r="C25" s="254" t="s">
        <v>77</v>
      </c>
      <c r="D25" s="254" t="s">
        <v>77</v>
      </c>
      <c r="E25" s="254" t="s">
        <v>77</v>
      </c>
      <c r="F25" s="254" t="s">
        <v>77</v>
      </c>
      <c r="G25" s="254" t="s">
        <v>77</v>
      </c>
      <c r="H25" s="254" t="s">
        <v>77</v>
      </c>
      <c r="I25" s="254" t="s">
        <v>77</v>
      </c>
      <c r="J25" s="254" t="s">
        <v>77</v>
      </c>
      <c r="K25" s="254" t="s">
        <v>77</v>
      </c>
      <c r="L25" s="254" t="s">
        <v>77</v>
      </c>
      <c r="M25" s="254" t="s">
        <v>77</v>
      </c>
      <c r="N25" s="254" t="s">
        <v>77</v>
      </c>
      <c r="O25" s="254" t="s">
        <v>82</v>
      </c>
      <c r="P25" s="472"/>
    </row>
    <row r="26" spans="1:16" s="14" customFormat="1" ht="6.6" customHeight="1" x14ac:dyDescent="0.2">
      <c r="A26" s="98"/>
      <c r="B26" s="225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9"/>
      <c r="P26" s="41"/>
    </row>
    <row r="27" spans="1:16" s="14" customFormat="1" ht="10.5" customHeight="1" x14ac:dyDescent="0.2">
      <c r="A27" s="141" t="s">
        <v>157</v>
      </c>
      <c r="B27" s="55" t="s">
        <v>56</v>
      </c>
      <c r="C27" s="85">
        <v>4.8499999999999996</v>
      </c>
      <c r="D27" s="85">
        <v>5.85</v>
      </c>
      <c r="E27" s="85">
        <v>7.2</v>
      </c>
      <c r="F27" s="85">
        <v>3.2</v>
      </c>
      <c r="G27" s="85">
        <v>5.3</v>
      </c>
      <c r="H27" s="85">
        <v>7.3</v>
      </c>
      <c r="I27" s="85">
        <v>6.25</v>
      </c>
      <c r="J27" s="85">
        <v>5.8</v>
      </c>
      <c r="K27" s="85">
        <v>5.15</v>
      </c>
      <c r="L27" s="85">
        <v>4.5999999999999996</v>
      </c>
      <c r="M27" s="85">
        <v>5.8</v>
      </c>
      <c r="N27" s="85">
        <v>4.55</v>
      </c>
      <c r="O27" s="85">
        <v>5.7</v>
      </c>
      <c r="P27" s="42"/>
    </row>
    <row r="28" spans="1:16" s="14" customFormat="1" ht="10.5" customHeight="1" x14ac:dyDescent="0.2">
      <c r="A28" s="98"/>
      <c r="B28" s="55" t="s">
        <v>57</v>
      </c>
      <c r="C28" s="85">
        <v>2.79</v>
      </c>
      <c r="D28" s="85">
        <v>3.99</v>
      </c>
      <c r="E28" s="85">
        <v>4.8899999999999997</v>
      </c>
      <c r="F28" s="85">
        <v>5.34</v>
      </c>
      <c r="G28" s="85">
        <v>6.89</v>
      </c>
      <c r="H28" s="85">
        <v>7.69</v>
      </c>
      <c r="I28" s="85">
        <v>7.99</v>
      </c>
      <c r="J28" s="85">
        <v>8.7899999999999991</v>
      </c>
      <c r="K28" s="85">
        <v>7.69</v>
      </c>
      <c r="L28" s="85">
        <v>6.24</v>
      </c>
      <c r="M28" s="85">
        <v>6.14</v>
      </c>
      <c r="N28" s="85">
        <v>5.64</v>
      </c>
      <c r="O28" s="85">
        <v>6.99</v>
      </c>
      <c r="P28" s="42"/>
    </row>
    <row r="29" spans="1:16" s="14" customFormat="1" ht="10.5" customHeight="1" x14ac:dyDescent="0.2">
      <c r="A29" s="98"/>
      <c r="B29" s="55" t="s">
        <v>60</v>
      </c>
      <c r="C29" s="85">
        <v>5.97</v>
      </c>
      <c r="D29" s="85">
        <v>2.27</v>
      </c>
      <c r="E29" s="85">
        <v>5.0199999999999996</v>
      </c>
      <c r="F29" s="85">
        <v>6.92</v>
      </c>
      <c r="G29" s="85">
        <v>3.87</v>
      </c>
      <c r="H29" s="85">
        <v>7.32</v>
      </c>
      <c r="I29" s="85">
        <v>5.22</v>
      </c>
      <c r="J29" s="85">
        <v>5.47</v>
      </c>
      <c r="K29" s="85">
        <v>4.42</v>
      </c>
      <c r="L29" s="85">
        <v>4.2699999999999996</v>
      </c>
      <c r="M29" s="85">
        <v>5.47</v>
      </c>
      <c r="N29" s="85">
        <v>5.07</v>
      </c>
      <c r="O29" s="85">
        <v>4.37</v>
      </c>
      <c r="P29" s="42"/>
    </row>
    <row r="30" spans="1:16" s="14" customFormat="1" ht="10.5" customHeight="1" x14ac:dyDescent="0.2">
      <c r="A30" s="98"/>
      <c r="B30" s="225" t="s">
        <v>64</v>
      </c>
      <c r="C30" s="85">
        <v>4.07</v>
      </c>
      <c r="D30" s="85">
        <v>4.84</v>
      </c>
      <c r="E30" s="85">
        <v>4.41</v>
      </c>
      <c r="F30" s="85">
        <v>5.09</v>
      </c>
      <c r="G30" s="85">
        <v>5.13</v>
      </c>
      <c r="H30" s="85">
        <v>5.66</v>
      </c>
      <c r="I30" s="85">
        <v>4.43</v>
      </c>
      <c r="J30" s="85">
        <v>4.2699999999999996</v>
      </c>
      <c r="K30" s="85">
        <v>4.8600000000000003</v>
      </c>
      <c r="L30" s="85">
        <v>4.88</v>
      </c>
      <c r="M30" s="85">
        <v>7.54</v>
      </c>
      <c r="N30" s="85">
        <v>7.22</v>
      </c>
      <c r="O30" s="85">
        <v>4.91</v>
      </c>
      <c r="P30" s="42"/>
    </row>
    <row r="31" spans="1:16" s="14" customFormat="1" ht="10.5" customHeight="1" x14ac:dyDescent="0.2">
      <c r="A31" s="98"/>
      <c r="B31" s="225" t="s">
        <v>81</v>
      </c>
      <c r="C31" s="85">
        <v>6.55</v>
      </c>
      <c r="D31" s="85">
        <v>8.68</v>
      </c>
      <c r="E31" s="85">
        <v>7.39</v>
      </c>
      <c r="F31" s="85">
        <v>4.7300000000000004</v>
      </c>
      <c r="G31" s="85">
        <v>5.09</v>
      </c>
      <c r="H31" s="85">
        <v>5.58</v>
      </c>
      <c r="I31" s="85">
        <v>4.2699999999999996</v>
      </c>
      <c r="J31" s="85">
        <v>5.81</v>
      </c>
      <c r="K31" s="85">
        <v>4.2699999999999996</v>
      </c>
      <c r="L31" s="85">
        <v>4.24</v>
      </c>
      <c r="M31" s="85">
        <v>5.14</v>
      </c>
      <c r="N31" s="85">
        <v>4.3899999999999997</v>
      </c>
      <c r="O31" s="85">
        <v>5.25</v>
      </c>
      <c r="P31" s="42"/>
    </row>
    <row r="32" spans="1:16" s="14" customFormat="1" ht="10.5" customHeight="1" x14ac:dyDescent="0.2">
      <c r="A32" s="241"/>
      <c r="B32" s="225" t="s">
        <v>88</v>
      </c>
      <c r="C32" s="85">
        <v>9.27</v>
      </c>
      <c r="D32" s="85">
        <v>10.265000000000001</v>
      </c>
      <c r="E32" s="85">
        <v>9.7249999999999996</v>
      </c>
      <c r="F32" s="85">
        <v>8.7799999999999994</v>
      </c>
      <c r="G32" s="85">
        <v>8.36</v>
      </c>
      <c r="H32" s="85">
        <v>8.1850000000000005</v>
      </c>
      <c r="I32" s="85">
        <v>8.9949999999999992</v>
      </c>
      <c r="J32" s="85">
        <v>8.3000000000000007</v>
      </c>
      <c r="K32" s="85">
        <v>8.81</v>
      </c>
      <c r="L32" s="85">
        <v>8.7249999999999996</v>
      </c>
      <c r="M32" s="85" t="s">
        <v>89</v>
      </c>
      <c r="N32" s="85">
        <v>13.215</v>
      </c>
      <c r="O32" s="85">
        <v>8.91</v>
      </c>
      <c r="P32" s="42"/>
    </row>
    <row r="33" spans="1:28" s="14" customFormat="1" ht="10.5" customHeight="1" x14ac:dyDescent="0.2">
      <c r="A33" s="241"/>
      <c r="B33" s="225" t="s">
        <v>90</v>
      </c>
      <c r="C33" s="85">
        <f>23.29/2</f>
        <v>11.645</v>
      </c>
      <c r="D33" s="85">
        <f>22.79/2</f>
        <v>11.395</v>
      </c>
      <c r="E33" s="85">
        <f>20.09/2</f>
        <v>10.045</v>
      </c>
      <c r="F33" s="85">
        <f>19.03/2</f>
        <v>9.5150000000000006</v>
      </c>
      <c r="G33" s="85">
        <v>9.1300000000000008</v>
      </c>
      <c r="H33" s="85">
        <f>19.03/2</f>
        <v>9.5150000000000006</v>
      </c>
      <c r="I33" s="85">
        <f>19.35/2</f>
        <v>9.6750000000000007</v>
      </c>
      <c r="J33" s="85">
        <f>18.2/2</f>
        <v>9.1</v>
      </c>
      <c r="K33" s="85">
        <f>17.06/2</f>
        <v>8.5299999999999994</v>
      </c>
      <c r="L33" s="85">
        <f>17.5/2</f>
        <v>8.75</v>
      </c>
      <c r="M33" s="85">
        <f>17.87/2</f>
        <v>8.9350000000000005</v>
      </c>
      <c r="N33" s="85">
        <f>20.72/2</f>
        <v>10.36</v>
      </c>
      <c r="O33" s="85">
        <v>9.51</v>
      </c>
      <c r="P33" s="42"/>
    </row>
    <row r="34" spans="1:28" s="14" customFormat="1" ht="10.5" customHeight="1" x14ac:dyDescent="0.2">
      <c r="A34" s="241"/>
      <c r="B34" s="225" t="s">
        <v>94</v>
      </c>
      <c r="C34" s="85">
        <f>23.35/2</f>
        <v>11.675000000000001</v>
      </c>
      <c r="D34" s="85">
        <f>23.25/2</f>
        <v>11.625</v>
      </c>
      <c r="E34" s="85">
        <f>24.65/2</f>
        <v>12.324999999999999</v>
      </c>
      <c r="F34" s="85">
        <f>21.6/2</f>
        <v>10.8</v>
      </c>
      <c r="G34" s="85">
        <f>20.52/2</f>
        <v>10.26</v>
      </c>
      <c r="H34" s="85">
        <f>20.79/2</f>
        <v>10.395</v>
      </c>
      <c r="I34" s="85">
        <f>19.69/2</f>
        <v>9.8450000000000006</v>
      </c>
      <c r="J34" s="85">
        <f>17.22/2</f>
        <v>8.61</v>
      </c>
      <c r="K34" s="85">
        <f>16.18/2</f>
        <v>8.09</v>
      </c>
      <c r="L34" s="85">
        <f>12.67/2</f>
        <v>6.335</v>
      </c>
      <c r="M34" s="85">
        <f>17.66/2</f>
        <v>8.83</v>
      </c>
      <c r="N34" s="85">
        <f>17.3/2</f>
        <v>8.65</v>
      </c>
      <c r="O34" s="85">
        <v>9.17</v>
      </c>
      <c r="P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</row>
    <row r="35" spans="1:28" s="14" customFormat="1" ht="10.5" customHeight="1" x14ac:dyDescent="0.2">
      <c r="A35" s="241"/>
      <c r="B35" s="225" t="s">
        <v>138</v>
      </c>
      <c r="C35" s="85">
        <f>23.6/2</f>
        <v>11.8</v>
      </c>
      <c r="D35" s="85">
        <f>24.2/2</f>
        <v>12.1</v>
      </c>
      <c r="E35" s="85">
        <f>22.6/2</f>
        <v>11.3</v>
      </c>
      <c r="F35" s="85">
        <f>22/2</f>
        <v>11</v>
      </c>
      <c r="G35" s="85">
        <f>15.27/2</f>
        <v>7.6349999999999998</v>
      </c>
      <c r="H35" s="85">
        <f>15.02/2</f>
        <v>7.51</v>
      </c>
      <c r="I35" s="85">
        <f>16.02/2</f>
        <v>8.01</v>
      </c>
      <c r="J35" s="85">
        <f>14.29/2</f>
        <v>7.1449999999999996</v>
      </c>
      <c r="K35" s="85">
        <f>11.72/2</f>
        <v>5.86</v>
      </c>
      <c r="L35" s="85">
        <f>8.93/2</f>
        <v>4.4649999999999999</v>
      </c>
      <c r="M35" s="85">
        <f>11.03/2</f>
        <v>5.5149999999999997</v>
      </c>
      <c r="N35" s="85">
        <f>9.94/2</f>
        <v>4.97</v>
      </c>
      <c r="O35" s="85">
        <f>13.46/2</f>
        <v>6.73</v>
      </c>
      <c r="P35" s="265"/>
    </row>
    <row r="36" spans="1:28" s="42" customFormat="1" ht="10.5" customHeight="1" x14ac:dyDescent="0.2">
      <c r="A36" s="241"/>
      <c r="B36" s="225" t="s">
        <v>142</v>
      </c>
      <c r="C36" s="85">
        <v>10.425000000000001</v>
      </c>
      <c r="D36" s="85">
        <v>8.6999999999999993</v>
      </c>
      <c r="E36" s="85" t="s">
        <v>77</v>
      </c>
      <c r="F36" s="85" t="s">
        <v>77</v>
      </c>
      <c r="G36" s="85" t="s">
        <v>77</v>
      </c>
      <c r="H36" s="85" t="s">
        <v>77</v>
      </c>
      <c r="I36" s="85" t="s">
        <v>77</v>
      </c>
      <c r="J36" s="85" t="s">
        <v>77</v>
      </c>
      <c r="K36" s="85" t="s">
        <v>77</v>
      </c>
      <c r="L36" s="85" t="s">
        <v>77</v>
      </c>
      <c r="M36" s="85" t="s">
        <v>77</v>
      </c>
      <c r="N36" s="85" t="s">
        <v>77</v>
      </c>
      <c r="O36" s="85">
        <f>17.25/2</f>
        <v>8.625</v>
      </c>
      <c r="P36" s="482"/>
    </row>
    <row r="37" spans="1:28" s="14" customFormat="1" ht="6.6" customHeight="1" x14ac:dyDescent="0.2">
      <c r="A37" s="322"/>
      <c r="B37" s="323"/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1"/>
    </row>
    <row r="38" spans="1:28" s="14" customFormat="1" ht="22.5" customHeight="1" x14ac:dyDescent="0.2">
      <c r="A38" s="577" t="s">
        <v>28</v>
      </c>
      <c r="B38" s="577" t="s">
        <v>1</v>
      </c>
      <c r="C38" s="120" t="s">
        <v>11</v>
      </c>
      <c r="D38" s="121" t="s">
        <v>12</v>
      </c>
      <c r="E38" s="121" t="s">
        <v>13</v>
      </c>
      <c r="F38" s="121" t="s">
        <v>14</v>
      </c>
      <c r="G38" s="121" t="s">
        <v>15</v>
      </c>
      <c r="H38" s="121" t="s">
        <v>4</v>
      </c>
      <c r="I38" s="121" t="s">
        <v>5</v>
      </c>
      <c r="J38" s="121" t="s">
        <v>6</v>
      </c>
      <c r="K38" s="121" t="s">
        <v>7</v>
      </c>
      <c r="L38" s="121" t="s">
        <v>8</v>
      </c>
      <c r="M38" s="121" t="s">
        <v>9</v>
      </c>
      <c r="N38" s="121" t="s">
        <v>10</v>
      </c>
      <c r="O38" s="120" t="s">
        <v>16</v>
      </c>
    </row>
    <row r="39" spans="1:28" s="42" customFormat="1" ht="9.75" customHeight="1" thickBot="1" x14ac:dyDescent="0.25">
      <c r="A39" s="576"/>
      <c r="B39" s="576"/>
      <c r="C39" s="575" t="s">
        <v>112</v>
      </c>
      <c r="D39" s="575"/>
      <c r="E39" s="575"/>
      <c r="F39" s="575"/>
      <c r="G39" s="575"/>
      <c r="H39" s="575"/>
      <c r="I39" s="575"/>
      <c r="J39" s="575"/>
      <c r="K39" s="575"/>
      <c r="L39" s="575"/>
      <c r="M39" s="575"/>
      <c r="N39" s="575"/>
      <c r="O39" s="575"/>
    </row>
    <row r="40" spans="1:28" s="14" customFormat="1" ht="3.75" customHeight="1" x14ac:dyDescent="0.2">
      <c r="A40" s="162"/>
      <c r="B40" s="96"/>
      <c r="C40" s="158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</row>
    <row r="41" spans="1:28" s="14" customFormat="1" ht="10.5" customHeight="1" x14ac:dyDescent="0.2">
      <c r="A41" s="134" t="s">
        <v>27</v>
      </c>
      <c r="B41" s="160" t="s">
        <v>56</v>
      </c>
      <c r="C41" s="156">
        <v>15.65</v>
      </c>
      <c r="D41" s="156">
        <v>15.85</v>
      </c>
      <c r="E41" s="156">
        <v>15.65</v>
      </c>
      <c r="F41" s="156">
        <v>16.3</v>
      </c>
      <c r="G41" s="156">
        <v>12.45</v>
      </c>
      <c r="H41" s="156">
        <v>10.5</v>
      </c>
      <c r="I41" s="156">
        <v>9.25</v>
      </c>
      <c r="J41" s="156">
        <v>9.4</v>
      </c>
      <c r="K41" s="156">
        <v>10.35</v>
      </c>
      <c r="L41" s="156">
        <v>11</v>
      </c>
      <c r="M41" s="156">
        <v>11.9</v>
      </c>
      <c r="N41" s="254">
        <v>14.15</v>
      </c>
      <c r="O41" s="254" t="s">
        <v>77</v>
      </c>
      <c r="P41" s="406"/>
      <c r="Q41" s="41"/>
    </row>
    <row r="42" spans="1:28" s="14" customFormat="1" ht="10.5" customHeight="1" x14ac:dyDescent="0.2">
      <c r="A42" s="134"/>
      <c r="B42" s="160" t="s">
        <v>57</v>
      </c>
      <c r="C42" s="156">
        <v>15.54</v>
      </c>
      <c r="D42" s="156">
        <v>14.29</v>
      </c>
      <c r="E42" s="156">
        <v>12.79</v>
      </c>
      <c r="F42" s="156">
        <v>12.54</v>
      </c>
      <c r="G42" s="156">
        <v>12.89</v>
      </c>
      <c r="H42" s="156">
        <v>13.64</v>
      </c>
      <c r="I42" s="156">
        <v>12.24</v>
      </c>
      <c r="J42" s="156">
        <v>11.94</v>
      </c>
      <c r="K42" s="156">
        <v>12.44</v>
      </c>
      <c r="L42" s="156">
        <v>13.64</v>
      </c>
      <c r="M42" s="156">
        <v>14.14</v>
      </c>
      <c r="N42" s="254">
        <v>13.29</v>
      </c>
      <c r="O42" s="254" t="s">
        <v>77</v>
      </c>
      <c r="P42" s="41"/>
      <c r="Q42" s="41"/>
      <c r="R42" s="42"/>
    </row>
    <row r="43" spans="1:28" s="14" customFormat="1" ht="10.5" customHeight="1" x14ac:dyDescent="0.2">
      <c r="A43" s="134"/>
      <c r="B43" s="160" t="s">
        <v>60</v>
      </c>
      <c r="C43" s="156">
        <v>13.76</v>
      </c>
      <c r="D43" s="156">
        <v>13.06</v>
      </c>
      <c r="E43" s="156">
        <v>12.51</v>
      </c>
      <c r="F43" s="156">
        <v>11.56</v>
      </c>
      <c r="G43" s="156">
        <v>11.16</v>
      </c>
      <c r="H43" s="156">
        <v>10.81</v>
      </c>
      <c r="I43" s="156">
        <v>10.11</v>
      </c>
      <c r="J43" s="156">
        <v>9.81</v>
      </c>
      <c r="K43" s="156">
        <v>11.76</v>
      </c>
      <c r="L43" s="156">
        <v>13.91</v>
      </c>
      <c r="M43" s="156">
        <v>15.26</v>
      </c>
      <c r="N43" s="254">
        <v>15.86</v>
      </c>
      <c r="O43" s="254" t="s">
        <v>82</v>
      </c>
      <c r="P43" s="262"/>
      <c r="Q43" s="41"/>
      <c r="R43" s="42"/>
    </row>
    <row r="44" spans="1:28" s="14" customFormat="1" ht="10.5" customHeight="1" x14ac:dyDescent="0.2">
      <c r="A44" s="134"/>
      <c r="B44" s="255" t="s">
        <v>64</v>
      </c>
      <c r="C44" s="254">
        <v>18.82</v>
      </c>
      <c r="D44" s="254">
        <v>19.52</v>
      </c>
      <c r="E44" s="254">
        <v>20.37</v>
      </c>
      <c r="F44" s="254">
        <v>19.37</v>
      </c>
      <c r="G44" s="254">
        <v>18.12</v>
      </c>
      <c r="H44" s="254">
        <v>18.82</v>
      </c>
      <c r="I44" s="254">
        <v>18.420000000000002</v>
      </c>
      <c r="J44" s="254">
        <v>18.420000000000002</v>
      </c>
      <c r="K44" s="254">
        <v>19.47</v>
      </c>
      <c r="L44" s="254">
        <v>20.52</v>
      </c>
      <c r="M44" s="254">
        <v>22.27</v>
      </c>
      <c r="N44" s="254">
        <v>25.12</v>
      </c>
      <c r="O44" s="254" t="s">
        <v>82</v>
      </c>
      <c r="P44" s="41"/>
      <c r="Q44" s="41"/>
      <c r="R44" s="42"/>
    </row>
    <row r="45" spans="1:28" s="14" customFormat="1" ht="10.5" customHeight="1" x14ac:dyDescent="0.2">
      <c r="A45" s="134"/>
      <c r="B45" s="255" t="s">
        <v>81</v>
      </c>
      <c r="C45" s="254">
        <v>24.98</v>
      </c>
      <c r="D45" s="254">
        <v>24.78</v>
      </c>
      <c r="E45" s="254">
        <v>25.28</v>
      </c>
      <c r="F45" s="254">
        <v>22.78</v>
      </c>
      <c r="G45" s="254">
        <v>20.329999999999998</v>
      </c>
      <c r="H45" s="254">
        <v>19.48</v>
      </c>
      <c r="I45" s="254">
        <v>18.829999999999998</v>
      </c>
      <c r="J45" s="254">
        <v>18.13</v>
      </c>
      <c r="K45" s="254">
        <v>18.329999999999998</v>
      </c>
      <c r="L45" s="254">
        <v>21.98</v>
      </c>
      <c r="M45" s="254">
        <v>25.58</v>
      </c>
      <c r="N45" s="254">
        <v>26.68</v>
      </c>
      <c r="O45" s="254" t="s">
        <v>82</v>
      </c>
      <c r="P45" s="41"/>
      <c r="Q45" s="41"/>
      <c r="R45" s="42"/>
    </row>
    <row r="46" spans="1:28" s="14" customFormat="1" ht="10.5" customHeight="1" x14ac:dyDescent="0.2">
      <c r="A46" s="261"/>
      <c r="B46" s="255" t="s">
        <v>88</v>
      </c>
      <c r="C46" s="254" t="s">
        <v>89</v>
      </c>
      <c r="D46" s="254">
        <v>20.98</v>
      </c>
      <c r="E46" s="254">
        <v>22.88</v>
      </c>
      <c r="F46" s="254">
        <v>23.13</v>
      </c>
      <c r="G46" s="254">
        <v>21.33</v>
      </c>
      <c r="H46" s="254">
        <v>20.18</v>
      </c>
      <c r="I46" s="254">
        <v>19.98</v>
      </c>
      <c r="J46" s="254">
        <v>19.329999999999998</v>
      </c>
      <c r="K46" s="254">
        <v>19.329999999999998</v>
      </c>
      <c r="L46" s="254">
        <v>21.78</v>
      </c>
      <c r="M46" s="254">
        <v>23.13</v>
      </c>
      <c r="N46" s="254">
        <v>22.08</v>
      </c>
      <c r="O46" s="254" t="s">
        <v>82</v>
      </c>
      <c r="P46" s="41"/>
      <c r="Q46" s="41"/>
      <c r="R46" s="42"/>
    </row>
    <row r="47" spans="1:28" s="14" customFormat="1" ht="10.5" customHeight="1" x14ac:dyDescent="0.2">
      <c r="A47" s="261"/>
      <c r="B47" s="204" t="s">
        <v>90</v>
      </c>
      <c r="C47" s="254" t="s">
        <v>89</v>
      </c>
      <c r="D47" s="254">
        <f>42.67/2</f>
        <v>21.335000000000001</v>
      </c>
      <c r="E47" s="254">
        <f>42.57/2</f>
        <v>21.285</v>
      </c>
      <c r="F47" s="254">
        <f>40.07/2</f>
        <v>20.035</v>
      </c>
      <c r="G47" s="254">
        <f>38.07/2</f>
        <v>19.035</v>
      </c>
      <c r="H47" s="254">
        <f>37.67/2</f>
        <v>18.835000000000001</v>
      </c>
      <c r="I47" s="254">
        <f>37.97/2</f>
        <v>18.984999999999999</v>
      </c>
      <c r="J47" s="254">
        <f>40.07/2</f>
        <v>20.035</v>
      </c>
      <c r="K47" s="254">
        <f>42.97/2</f>
        <v>21.484999999999999</v>
      </c>
      <c r="L47" s="254">
        <f>45.37/2</f>
        <v>22.684999999999999</v>
      </c>
      <c r="M47" s="254">
        <f>52.57/2</f>
        <v>26.285</v>
      </c>
      <c r="N47" s="254">
        <f>52.17/2</f>
        <v>26.085000000000001</v>
      </c>
      <c r="O47" s="254" t="s">
        <v>82</v>
      </c>
      <c r="P47" s="41"/>
      <c r="Q47" s="262"/>
      <c r="R47" s="42"/>
      <c r="S47" s="78"/>
      <c r="T47" s="78"/>
      <c r="U47" s="78"/>
      <c r="V47" s="78"/>
      <c r="W47" s="78"/>
      <c r="X47" s="78"/>
      <c r="Y47" s="78"/>
      <c r="Z47" s="78"/>
      <c r="AA47" s="78"/>
      <c r="AB47" s="78"/>
    </row>
    <row r="48" spans="1:28" s="14" customFormat="1" ht="10.5" customHeight="1" x14ac:dyDescent="0.2">
      <c r="A48" s="261"/>
      <c r="B48" s="204" t="s">
        <v>94</v>
      </c>
      <c r="C48" s="254" t="s">
        <v>89</v>
      </c>
      <c r="D48" s="254">
        <f>39.37/2</f>
        <v>19.684999999999999</v>
      </c>
      <c r="E48" s="254">
        <f>37.87/2</f>
        <v>18.934999999999999</v>
      </c>
      <c r="F48" s="254">
        <f>41.37/2</f>
        <v>20.684999999999999</v>
      </c>
      <c r="G48" s="254">
        <f>44.67/2</f>
        <v>22.335000000000001</v>
      </c>
      <c r="H48" s="254">
        <f>45.47/2</f>
        <v>22.734999999999999</v>
      </c>
      <c r="I48" s="254">
        <f>43.77/2</f>
        <v>21.885000000000002</v>
      </c>
      <c r="J48" s="254">
        <f>38.37/2</f>
        <v>19.184999999999999</v>
      </c>
      <c r="K48" s="254">
        <f>36.57/2</f>
        <v>18.285</v>
      </c>
      <c r="L48" s="254">
        <f>36.47/2</f>
        <v>18.234999999999999</v>
      </c>
      <c r="M48" s="254">
        <f>39.07/2</f>
        <v>19.535</v>
      </c>
      <c r="N48" s="254">
        <f>50.67/2</f>
        <v>25.335000000000001</v>
      </c>
      <c r="O48" s="254" t="s">
        <v>82</v>
      </c>
      <c r="P48" s="41"/>
      <c r="Q48" s="41"/>
      <c r="R48" s="42"/>
      <c r="T48" s="42"/>
      <c r="U48" s="42"/>
      <c r="V48" s="42"/>
      <c r="W48" s="42"/>
      <c r="X48" s="42"/>
      <c r="Y48" s="42"/>
      <c r="Z48" s="42"/>
      <c r="AA48" s="42"/>
      <c r="AB48" s="42"/>
    </row>
    <row r="49" spans="1:17" s="42" customFormat="1" ht="10.5" customHeight="1" x14ac:dyDescent="0.2">
      <c r="A49" s="261"/>
      <c r="B49" s="204" t="s">
        <v>138</v>
      </c>
      <c r="C49" s="254">
        <f>67.47/2</f>
        <v>33.734999999999999</v>
      </c>
      <c r="D49" s="254">
        <f>69.07/2</f>
        <v>34.534999999999997</v>
      </c>
      <c r="E49" s="254">
        <f>50.17/2</f>
        <v>25.085000000000001</v>
      </c>
      <c r="F49" s="254">
        <f>42.07/2</f>
        <v>21.035</v>
      </c>
      <c r="G49" s="254">
        <f>38.17/2</f>
        <v>19.085000000000001</v>
      </c>
      <c r="H49" s="254">
        <f>34.37/2</f>
        <v>17.184999999999999</v>
      </c>
      <c r="I49" s="254">
        <f>30.87/2</f>
        <v>15.435</v>
      </c>
      <c r="J49" s="254">
        <f>29.87/2</f>
        <v>14.935</v>
      </c>
      <c r="K49" s="254">
        <f>30.27/2</f>
        <v>15.135</v>
      </c>
      <c r="L49" s="254">
        <f>30.67/2</f>
        <v>15.335000000000001</v>
      </c>
      <c r="M49" s="254">
        <f>33.17/2</f>
        <v>16.585000000000001</v>
      </c>
      <c r="N49" s="254">
        <f>35.97/2</f>
        <v>17.984999999999999</v>
      </c>
      <c r="O49" s="254" t="s">
        <v>82</v>
      </c>
      <c r="P49" s="41"/>
      <c r="Q49" s="41"/>
    </row>
    <row r="50" spans="1:17" s="42" customFormat="1" ht="10.5" customHeight="1" x14ac:dyDescent="0.2">
      <c r="A50" s="261"/>
      <c r="B50" s="204" t="s">
        <v>142</v>
      </c>
      <c r="C50" s="254">
        <f>38.87/2</f>
        <v>19.434999999999999</v>
      </c>
      <c r="D50" s="254">
        <f>40.17/2</f>
        <v>20.085000000000001</v>
      </c>
      <c r="E50" s="254">
        <f>40.67/2</f>
        <v>20.335000000000001</v>
      </c>
      <c r="F50" s="254">
        <f>38.47/2</f>
        <v>19.234999999999999</v>
      </c>
      <c r="G50" s="254">
        <f>35.37/2</f>
        <v>17.684999999999999</v>
      </c>
      <c r="H50" s="254" t="s">
        <v>77</v>
      </c>
      <c r="I50" s="254" t="s">
        <v>77</v>
      </c>
      <c r="J50" s="254" t="s">
        <v>77</v>
      </c>
      <c r="K50" s="254" t="s">
        <v>77</v>
      </c>
      <c r="L50" s="254" t="s">
        <v>77</v>
      </c>
      <c r="M50" s="254" t="s">
        <v>77</v>
      </c>
      <c r="N50" s="254" t="s">
        <v>77</v>
      </c>
      <c r="O50" s="254" t="s">
        <v>82</v>
      </c>
      <c r="P50" s="483"/>
      <c r="Q50" s="41"/>
    </row>
    <row r="51" spans="1:17" s="14" customFormat="1" ht="6" customHeight="1" x14ac:dyDescent="0.2">
      <c r="A51" s="134"/>
      <c r="B51" s="160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257"/>
      <c r="O51" s="254"/>
      <c r="P51" s="41"/>
      <c r="Q51" s="41"/>
    </row>
    <row r="52" spans="1:17" s="14" customFormat="1" ht="10.5" customHeight="1" x14ac:dyDescent="0.2">
      <c r="A52" s="134" t="s">
        <v>26</v>
      </c>
      <c r="B52" s="160" t="s">
        <v>56</v>
      </c>
      <c r="C52" s="156" t="s">
        <v>77</v>
      </c>
      <c r="D52" s="156" t="s">
        <v>77</v>
      </c>
      <c r="E52" s="156" t="s">
        <v>77</v>
      </c>
      <c r="F52" s="156" t="s">
        <v>77</v>
      </c>
      <c r="G52" s="156" t="s">
        <v>77</v>
      </c>
      <c r="H52" s="156" t="s">
        <v>77</v>
      </c>
      <c r="I52" s="156" t="s">
        <v>77</v>
      </c>
      <c r="J52" s="156" t="s">
        <v>77</v>
      </c>
      <c r="K52" s="156" t="s">
        <v>77</v>
      </c>
      <c r="L52" s="156" t="s">
        <v>77</v>
      </c>
      <c r="M52" s="156" t="s">
        <v>77</v>
      </c>
      <c r="N52" s="254" t="s">
        <v>77</v>
      </c>
      <c r="O52" s="254" t="s">
        <v>77</v>
      </c>
      <c r="P52" s="41"/>
      <c r="Q52" s="41"/>
    </row>
    <row r="53" spans="1:17" s="14" customFormat="1" ht="10.5" customHeight="1" x14ac:dyDescent="0.2">
      <c r="A53" s="134"/>
      <c r="B53" s="160" t="s">
        <v>57</v>
      </c>
      <c r="C53" s="156" t="s">
        <v>77</v>
      </c>
      <c r="D53" s="156" t="s">
        <v>77</v>
      </c>
      <c r="E53" s="156" t="s">
        <v>77</v>
      </c>
      <c r="F53" s="156" t="s">
        <v>77</v>
      </c>
      <c r="G53" s="156" t="s">
        <v>77</v>
      </c>
      <c r="H53" s="156" t="s">
        <v>77</v>
      </c>
      <c r="I53" s="156" t="s">
        <v>77</v>
      </c>
      <c r="J53" s="156" t="s">
        <v>77</v>
      </c>
      <c r="K53" s="156" t="s">
        <v>77</v>
      </c>
      <c r="L53" s="156" t="s">
        <v>77</v>
      </c>
      <c r="M53" s="156" t="s">
        <v>77</v>
      </c>
      <c r="N53" s="254" t="s">
        <v>77</v>
      </c>
      <c r="O53" s="254" t="s">
        <v>77</v>
      </c>
      <c r="P53" s="41"/>
      <c r="Q53" s="41"/>
    </row>
    <row r="54" spans="1:17" s="14" customFormat="1" ht="10.5" customHeight="1" x14ac:dyDescent="0.2">
      <c r="A54" s="134"/>
      <c r="B54" s="255" t="s">
        <v>60</v>
      </c>
      <c r="C54" s="254" t="s">
        <v>77</v>
      </c>
      <c r="D54" s="254" t="s">
        <v>77</v>
      </c>
      <c r="E54" s="254" t="s">
        <v>77</v>
      </c>
      <c r="F54" s="254" t="s">
        <v>77</v>
      </c>
      <c r="G54" s="254" t="s">
        <v>77</v>
      </c>
      <c r="H54" s="254" t="s">
        <v>77</v>
      </c>
      <c r="I54" s="254" t="s">
        <v>77</v>
      </c>
      <c r="J54" s="254" t="s">
        <v>77</v>
      </c>
      <c r="K54" s="254" t="s">
        <v>77</v>
      </c>
      <c r="L54" s="254" t="s">
        <v>77</v>
      </c>
      <c r="M54" s="254" t="s">
        <v>77</v>
      </c>
      <c r="N54" s="254" t="s">
        <v>77</v>
      </c>
      <c r="O54" s="254" t="s">
        <v>82</v>
      </c>
      <c r="P54" s="41"/>
      <c r="Q54" s="41"/>
    </row>
    <row r="55" spans="1:17" s="14" customFormat="1" ht="10.5" customHeight="1" x14ac:dyDescent="0.2">
      <c r="A55" s="134"/>
      <c r="B55" s="255" t="s">
        <v>64</v>
      </c>
      <c r="C55" s="254" t="s">
        <v>77</v>
      </c>
      <c r="D55" s="254" t="s">
        <v>77</v>
      </c>
      <c r="E55" s="254" t="s">
        <v>77</v>
      </c>
      <c r="F55" s="254" t="s">
        <v>77</v>
      </c>
      <c r="G55" s="254" t="s">
        <v>77</v>
      </c>
      <c r="H55" s="254" t="s">
        <v>77</v>
      </c>
      <c r="I55" s="254" t="s">
        <v>77</v>
      </c>
      <c r="J55" s="254" t="s">
        <v>77</v>
      </c>
      <c r="K55" s="254" t="s">
        <v>77</v>
      </c>
      <c r="L55" s="254" t="s">
        <v>77</v>
      </c>
      <c r="M55" s="254" t="s">
        <v>77</v>
      </c>
      <c r="N55" s="254" t="s">
        <v>77</v>
      </c>
      <c r="O55" s="254" t="s">
        <v>82</v>
      </c>
      <c r="P55" s="41"/>
      <c r="Q55" s="41"/>
    </row>
    <row r="56" spans="1:17" s="14" customFormat="1" ht="10.5" customHeight="1" x14ac:dyDescent="0.2">
      <c r="A56" s="261"/>
      <c r="B56" s="255" t="s">
        <v>81</v>
      </c>
      <c r="C56" s="254" t="s">
        <v>77</v>
      </c>
      <c r="D56" s="254" t="s">
        <v>77</v>
      </c>
      <c r="E56" s="254" t="s">
        <v>77</v>
      </c>
      <c r="F56" s="254" t="s">
        <v>77</v>
      </c>
      <c r="G56" s="254" t="s">
        <v>77</v>
      </c>
      <c r="H56" s="254" t="s">
        <v>77</v>
      </c>
      <c r="I56" s="254" t="s">
        <v>77</v>
      </c>
      <c r="J56" s="254" t="s">
        <v>77</v>
      </c>
      <c r="K56" s="254" t="s">
        <v>77</v>
      </c>
      <c r="L56" s="254" t="s">
        <v>77</v>
      </c>
      <c r="M56" s="254" t="s">
        <v>77</v>
      </c>
      <c r="N56" s="254" t="s">
        <v>77</v>
      </c>
      <c r="O56" s="254" t="s">
        <v>82</v>
      </c>
      <c r="P56" s="41"/>
      <c r="Q56" s="41"/>
    </row>
    <row r="57" spans="1:17" s="14" customFormat="1" ht="10.5" customHeight="1" x14ac:dyDescent="0.2">
      <c r="A57" s="261"/>
      <c r="B57" s="255" t="s">
        <v>88</v>
      </c>
      <c r="C57" s="254" t="s">
        <v>77</v>
      </c>
      <c r="D57" s="254" t="s">
        <v>77</v>
      </c>
      <c r="E57" s="254" t="s">
        <v>77</v>
      </c>
      <c r="F57" s="254" t="s">
        <v>77</v>
      </c>
      <c r="G57" s="254" t="s">
        <v>77</v>
      </c>
      <c r="H57" s="254" t="s">
        <v>77</v>
      </c>
      <c r="I57" s="254" t="s">
        <v>77</v>
      </c>
      <c r="J57" s="254" t="s">
        <v>77</v>
      </c>
      <c r="K57" s="254" t="s">
        <v>77</v>
      </c>
      <c r="L57" s="254" t="s">
        <v>77</v>
      </c>
      <c r="M57" s="254" t="s">
        <v>77</v>
      </c>
      <c r="N57" s="254" t="s">
        <v>77</v>
      </c>
      <c r="O57" s="254" t="s">
        <v>82</v>
      </c>
      <c r="P57" s="41"/>
      <c r="Q57" s="41"/>
    </row>
    <row r="58" spans="1:17" s="14" customFormat="1" ht="10.5" customHeight="1" x14ac:dyDescent="0.2">
      <c r="A58" s="261"/>
      <c r="B58" s="204" t="s">
        <v>90</v>
      </c>
      <c r="C58" s="254" t="s">
        <v>77</v>
      </c>
      <c r="D58" s="254" t="s">
        <v>77</v>
      </c>
      <c r="E58" s="254" t="s">
        <v>77</v>
      </c>
      <c r="F58" s="254" t="s">
        <v>77</v>
      </c>
      <c r="G58" s="254" t="s">
        <v>77</v>
      </c>
      <c r="H58" s="254" t="s">
        <v>77</v>
      </c>
      <c r="I58" s="254" t="s">
        <v>77</v>
      </c>
      <c r="J58" s="254" t="s">
        <v>77</v>
      </c>
      <c r="K58" s="254" t="s">
        <v>77</v>
      </c>
      <c r="L58" s="254" t="s">
        <v>77</v>
      </c>
      <c r="M58" s="254" t="s">
        <v>77</v>
      </c>
      <c r="N58" s="254" t="s">
        <v>77</v>
      </c>
      <c r="O58" s="254" t="s">
        <v>82</v>
      </c>
      <c r="P58" s="41"/>
      <c r="Q58" s="41"/>
    </row>
    <row r="59" spans="1:17" s="14" customFormat="1" ht="10.5" customHeight="1" x14ac:dyDescent="0.2">
      <c r="A59" s="261"/>
      <c r="B59" s="204" t="s">
        <v>94</v>
      </c>
      <c r="C59" s="254" t="s">
        <v>77</v>
      </c>
      <c r="D59" s="254" t="s">
        <v>77</v>
      </c>
      <c r="E59" s="254" t="s">
        <v>77</v>
      </c>
      <c r="F59" s="254" t="s">
        <v>77</v>
      </c>
      <c r="G59" s="254" t="s">
        <v>77</v>
      </c>
      <c r="H59" s="254" t="s">
        <v>77</v>
      </c>
      <c r="I59" s="254" t="s">
        <v>77</v>
      </c>
      <c r="J59" s="254" t="s">
        <v>77</v>
      </c>
      <c r="K59" s="254" t="s">
        <v>77</v>
      </c>
      <c r="L59" s="254" t="s">
        <v>77</v>
      </c>
      <c r="M59" s="254" t="s">
        <v>77</v>
      </c>
      <c r="N59" s="254" t="s">
        <v>77</v>
      </c>
      <c r="O59" s="254" t="s">
        <v>82</v>
      </c>
      <c r="P59" s="41"/>
      <c r="Q59" s="41"/>
    </row>
    <row r="60" spans="1:17" s="42" customFormat="1" ht="10.5" customHeight="1" x14ac:dyDescent="0.2">
      <c r="A60" s="261"/>
      <c r="B60" s="204" t="s">
        <v>138</v>
      </c>
      <c r="C60" s="254" t="s">
        <v>77</v>
      </c>
      <c r="D60" s="254" t="s">
        <v>77</v>
      </c>
      <c r="E60" s="254" t="s">
        <v>77</v>
      </c>
      <c r="F60" s="254" t="s">
        <v>77</v>
      </c>
      <c r="G60" s="254" t="s">
        <v>77</v>
      </c>
      <c r="H60" s="254" t="s">
        <v>77</v>
      </c>
      <c r="I60" s="254" t="s">
        <v>77</v>
      </c>
      <c r="J60" s="254" t="s">
        <v>77</v>
      </c>
      <c r="K60" s="254" t="s">
        <v>77</v>
      </c>
      <c r="L60" s="254" t="s">
        <v>77</v>
      </c>
      <c r="M60" s="254" t="s">
        <v>77</v>
      </c>
      <c r="N60" s="254" t="s">
        <v>77</v>
      </c>
      <c r="O60" s="254" t="s">
        <v>82</v>
      </c>
      <c r="P60" s="41"/>
      <c r="Q60" s="41"/>
    </row>
    <row r="61" spans="1:17" s="42" customFormat="1" ht="10.5" customHeight="1" x14ac:dyDescent="0.2">
      <c r="A61" s="261"/>
      <c r="B61" s="204" t="s">
        <v>142</v>
      </c>
      <c r="C61" s="254" t="s">
        <v>77</v>
      </c>
      <c r="D61" s="254" t="s">
        <v>77</v>
      </c>
      <c r="E61" s="254" t="s">
        <v>77</v>
      </c>
      <c r="F61" s="254" t="s">
        <v>77</v>
      </c>
      <c r="G61" s="254" t="s">
        <v>77</v>
      </c>
      <c r="H61" s="254" t="s">
        <v>77</v>
      </c>
      <c r="I61" s="254" t="s">
        <v>77</v>
      </c>
      <c r="J61" s="254" t="s">
        <v>77</v>
      </c>
      <c r="K61" s="254" t="s">
        <v>77</v>
      </c>
      <c r="L61" s="254" t="s">
        <v>77</v>
      </c>
      <c r="M61" s="254" t="s">
        <v>77</v>
      </c>
      <c r="N61" s="254" t="s">
        <v>77</v>
      </c>
      <c r="O61" s="254" t="s">
        <v>82</v>
      </c>
      <c r="P61" s="472"/>
      <c r="Q61" s="41"/>
    </row>
    <row r="62" spans="1:17" s="14" customFormat="1" ht="6" customHeight="1" x14ac:dyDescent="0.2">
      <c r="A62" s="261"/>
      <c r="B62" s="255"/>
      <c r="C62" s="257"/>
      <c r="D62" s="257"/>
      <c r="E62" s="257"/>
      <c r="F62" s="257"/>
      <c r="G62" s="257"/>
      <c r="H62" s="257"/>
      <c r="I62" s="257"/>
      <c r="J62" s="257"/>
      <c r="K62" s="257"/>
      <c r="L62" s="257"/>
      <c r="M62" s="257"/>
      <c r="N62" s="257"/>
      <c r="O62" s="254"/>
      <c r="P62" s="41"/>
      <c r="Q62" s="41"/>
    </row>
    <row r="63" spans="1:17" s="14" customFormat="1" ht="10.5" customHeight="1" x14ac:dyDescent="0.2">
      <c r="A63" s="545" t="s">
        <v>158</v>
      </c>
      <c r="B63" s="160" t="s">
        <v>56</v>
      </c>
      <c r="C63" s="85">
        <v>11.44</v>
      </c>
      <c r="D63" s="85">
        <v>11.73</v>
      </c>
      <c r="E63" s="85">
        <v>13.06</v>
      </c>
      <c r="F63" s="85">
        <v>13.11</v>
      </c>
      <c r="G63" s="85">
        <v>8.11</v>
      </c>
      <c r="H63" s="85">
        <v>7.51</v>
      </c>
      <c r="I63" s="85">
        <v>5.21</v>
      </c>
      <c r="J63" s="85">
        <v>5.97</v>
      </c>
      <c r="K63" s="85">
        <v>7.21</v>
      </c>
      <c r="L63" s="85">
        <v>8.24</v>
      </c>
      <c r="M63" s="85">
        <v>9.1</v>
      </c>
      <c r="N63" s="85">
        <v>10.85</v>
      </c>
      <c r="O63" s="85">
        <v>8.59</v>
      </c>
      <c r="P63" s="41"/>
    </row>
    <row r="64" spans="1:17" s="14" customFormat="1" ht="10.5" customHeight="1" x14ac:dyDescent="0.2">
      <c r="A64" s="134"/>
      <c r="B64" s="160" t="s">
        <v>57</v>
      </c>
      <c r="C64" s="85">
        <v>14.38</v>
      </c>
      <c r="D64" s="85">
        <v>11.984999999999999</v>
      </c>
      <c r="E64" s="85">
        <v>9.3450000000000006</v>
      </c>
      <c r="F64" s="85">
        <v>9.8049999999999997</v>
      </c>
      <c r="G64" s="85">
        <v>10.14</v>
      </c>
      <c r="H64" s="85">
        <v>9.8000000000000007</v>
      </c>
      <c r="I64" s="85">
        <v>9.0350000000000001</v>
      </c>
      <c r="J64" s="85">
        <v>9.2799999999999994</v>
      </c>
      <c r="K64" s="85">
        <v>10.77</v>
      </c>
      <c r="L64" s="85">
        <v>11.59</v>
      </c>
      <c r="M64" s="85">
        <v>11.045</v>
      </c>
      <c r="N64" s="85">
        <v>11.64</v>
      </c>
      <c r="O64" s="85">
        <v>10.63</v>
      </c>
      <c r="P64" s="41"/>
    </row>
    <row r="65" spans="1:28" s="14" customFormat="1" ht="10.5" customHeight="1" x14ac:dyDescent="0.2">
      <c r="A65" s="134"/>
      <c r="B65" s="160" t="s">
        <v>60</v>
      </c>
      <c r="C65" s="85">
        <v>9.77</v>
      </c>
      <c r="D65" s="85">
        <v>10.55</v>
      </c>
      <c r="E65" s="85">
        <v>10.210000000000001</v>
      </c>
      <c r="F65" s="85">
        <v>10.16</v>
      </c>
      <c r="G65" s="85">
        <v>8.77</v>
      </c>
      <c r="H65" s="85">
        <v>8.2899999999999991</v>
      </c>
      <c r="I65" s="85">
        <v>6.4</v>
      </c>
      <c r="J65" s="85">
        <v>6.38</v>
      </c>
      <c r="K65" s="85">
        <v>7.09</v>
      </c>
      <c r="L65" s="85">
        <v>10.16</v>
      </c>
      <c r="M65" s="85">
        <v>10.7</v>
      </c>
      <c r="N65" s="85">
        <v>11.97</v>
      </c>
      <c r="O65" s="85" t="s">
        <v>82</v>
      </c>
      <c r="P65" s="41"/>
    </row>
    <row r="66" spans="1:28" s="14" customFormat="1" ht="10.5" customHeight="1" x14ac:dyDescent="0.2">
      <c r="A66" s="134"/>
      <c r="B66" s="255" t="s">
        <v>64</v>
      </c>
      <c r="C66" s="85">
        <v>16.36</v>
      </c>
      <c r="D66" s="85">
        <v>16.524999999999999</v>
      </c>
      <c r="E66" s="85">
        <v>19.114999999999998</v>
      </c>
      <c r="F66" s="85">
        <v>16.63</v>
      </c>
      <c r="G66" s="85">
        <v>15.015000000000001</v>
      </c>
      <c r="H66" s="85">
        <v>13.744999999999999</v>
      </c>
      <c r="I66" s="85">
        <v>13.734999999999999</v>
      </c>
      <c r="J66" s="85">
        <v>13.23</v>
      </c>
      <c r="K66" s="85">
        <v>14.02</v>
      </c>
      <c r="L66" s="85">
        <v>15.105</v>
      </c>
      <c r="M66" s="85">
        <v>17.829999999999998</v>
      </c>
      <c r="N66" s="85">
        <v>23.155000000000001</v>
      </c>
      <c r="O66" s="85" t="s">
        <v>82</v>
      </c>
      <c r="P66" s="41"/>
    </row>
    <row r="67" spans="1:28" s="14" customFormat="1" ht="10.5" customHeight="1" x14ac:dyDescent="0.2">
      <c r="A67" s="134"/>
      <c r="B67" s="255" t="s">
        <v>81</v>
      </c>
      <c r="C67" s="85">
        <v>19.77</v>
      </c>
      <c r="D67" s="85">
        <v>20.91</v>
      </c>
      <c r="E67" s="85">
        <v>21.89</v>
      </c>
      <c r="F67" s="85">
        <v>17.22</v>
      </c>
      <c r="G67" s="85">
        <v>13.84</v>
      </c>
      <c r="H67" s="85">
        <v>12.18</v>
      </c>
      <c r="I67" s="85">
        <v>9.3800000000000008</v>
      </c>
      <c r="J67" s="85">
        <v>10.62</v>
      </c>
      <c r="K67" s="85">
        <v>13.72</v>
      </c>
      <c r="L67" s="85">
        <v>18.86</v>
      </c>
      <c r="M67" s="85">
        <v>21.68</v>
      </c>
      <c r="N67" s="85">
        <v>21.78</v>
      </c>
      <c r="O67" s="85" t="s">
        <v>82</v>
      </c>
      <c r="P67" s="41"/>
    </row>
    <row r="68" spans="1:28" s="14" customFormat="1" ht="10.5" customHeight="1" x14ac:dyDescent="0.2">
      <c r="A68" s="134"/>
      <c r="B68" s="204" t="s">
        <v>88</v>
      </c>
      <c r="C68" s="85" t="s">
        <v>89</v>
      </c>
      <c r="D68" s="85">
        <v>18.63</v>
      </c>
      <c r="E68" s="85">
        <v>19.695</v>
      </c>
      <c r="F68" s="85">
        <v>17.844999999999999</v>
      </c>
      <c r="G68" s="85">
        <v>15.225</v>
      </c>
      <c r="H68" s="85">
        <v>15.03</v>
      </c>
      <c r="I68" s="85">
        <v>14.11</v>
      </c>
      <c r="J68" s="85">
        <v>15.455</v>
      </c>
      <c r="K68" s="85">
        <v>15.54</v>
      </c>
      <c r="L68" s="85">
        <v>18.87</v>
      </c>
      <c r="M68" s="85">
        <v>18.190000000000001</v>
      </c>
      <c r="N68" s="85">
        <v>17.16</v>
      </c>
      <c r="O68" s="85" t="s">
        <v>82</v>
      </c>
      <c r="P68" s="41"/>
    </row>
    <row r="69" spans="1:28" s="14" customFormat="1" ht="10.5" customHeight="1" x14ac:dyDescent="0.2">
      <c r="A69" s="134"/>
      <c r="B69" s="307" t="s">
        <v>90</v>
      </c>
      <c r="C69" s="85" t="s">
        <v>89</v>
      </c>
      <c r="D69" s="85">
        <f>37.5/2</f>
        <v>18.75</v>
      </c>
      <c r="E69" s="85">
        <f>37.41/2</f>
        <v>18.704999999999998</v>
      </c>
      <c r="F69" s="85">
        <f>33.66/2</f>
        <v>16.829999999999998</v>
      </c>
      <c r="G69" s="85">
        <f>29.04/2</f>
        <v>14.52</v>
      </c>
      <c r="H69" s="85">
        <f>29.69/2</f>
        <v>14.845000000000001</v>
      </c>
      <c r="I69" s="85">
        <f>31.45/2</f>
        <v>15.725</v>
      </c>
      <c r="J69" s="85">
        <f>30.7/2</f>
        <v>15.35</v>
      </c>
      <c r="K69" s="85">
        <f>33.17/2</f>
        <v>16.585000000000001</v>
      </c>
      <c r="L69" s="85">
        <f>37.44/2</f>
        <v>18.72</v>
      </c>
      <c r="M69" s="85">
        <f>47.15/2</f>
        <v>23.574999999999999</v>
      </c>
      <c r="N69" s="85">
        <f>48.14/2</f>
        <v>24.07</v>
      </c>
      <c r="O69" s="85">
        <v>17.510000000000002</v>
      </c>
      <c r="P69" s="41"/>
    </row>
    <row r="70" spans="1:28" s="14" customFormat="1" ht="10.5" customHeight="1" x14ac:dyDescent="0.2">
      <c r="A70" s="134"/>
      <c r="B70" s="307" t="s">
        <v>94</v>
      </c>
      <c r="C70" s="85" t="s">
        <v>89</v>
      </c>
      <c r="D70" s="85">
        <f>35.81/2</f>
        <v>17.905000000000001</v>
      </c>
      <c r="E70" s="85">
        <f>30.9/2</f>
        <v>15.45</v>
      </c>
      <c r="F70" s="85">
        <f>34.18/2</f>
        <v>17.09</v>
      </c>
      <c r="G70" s="85">
        <f>37.83/2</f>
        <v>18.914999999999999</v>
      </c>
      <c r="H70" s="85">
        <f>37.1/2</f>
        <v>18.55</v>
      </c>
      <c r="I70" s="85">
        <f>29.81/2</f>
        <v>14.904999999999999</v>
      </c>
      <c r="J70" s="85">
        <f>26.79/2</f>
        <v>13.395</v>
      </c>
      <c r="K70" s="85">
        <f>24.22/2</f>
        <v>12.11</v>
      </c>
      <c r="L70" s="85">
        <f>27.91/2</f>
        <v>13.955</v>
      </c>
      <c r="M70" s="85">
        <f>35.53/2</f>
        <v>17.765000000000001</v>
      </c>
      <c r="N70" s="85">
        <f>46.75/2</f>
        <v>23.375</v>
      </c>
      <c r="O70" s="85">
        <v>16.079999999999998</v>
      </c>
      <c r="P70" s="41"/>
      <c r="S70" s="42"/>
      <c r="T70" s="42"/>
      <c r="U70" s="42"/>
      <c r="V70" s="42"/>
      <c r="W70" s="42"/>
      <c r="X70" s="42"/>
      <c r="Y70" s="42"/>
      <c r="Z70" s="42"/>
      <c r="AA70" s="42"/>
      <c r="AB70" s="42"/>
    </row>
    <row r="71" spans="1:28" s="42" customFormat="1" ht="10.5" customHeight="1" x14ac:dyDescent="0.2">
      <c r="A71" s="306"/>
      <c r="B71" s="307" t="s">
        <v>138</v>
      </c>
      <c r="C71" s="85">
        <f>56.83/2</f>
        <v>28.414999999999999</v>
      </c>
      <c r="D71" s="85">
        <f>59.72/2</f>
        <v>29.86</v>
      </c>
      <c r="E71" s="85">
        <f>47.42/2</f>
        <v>23.71</v>
      </c>
      <c r="F71" s="85">
        <f>38.09/2</f>
        <v>19.045000000000002</v>
      </c>
      <c r="G71" s="85">
        <f>33.63/2</f>
        <v>16.815000000000001</v>
      </c>
      <c r="H71" s="85">
        <f>28.27/2</f>
        <v>14.135</v>
      </c>
      <c r="I71" s="85">
        <f>22.37/2</f>
        <v>11.185</v>
      </c>
      <c r="J71" s="85">
        <f>21.77/2</f>
        <v>10.885</v>
      </c>
      <c r="K71" s="85">
        <f>19.45/2</f>
        <v>9.7249999999999996</v>
      </c>
      <c r="L71" s="85">
        <f>22.78/2</f>
        <v>11.39</v>
      </c>
      <c r="M71" s="85">
        <f>25.71/2</f>
        <v>12.855</v>
      </c>
      <c r="N71" s="85">
        <f>28.43/2</f>
        <v>14.215</v>
      </c>
      <c r="O71" s="85">
        <f>29.04/2</f>
        <v>14.52</v>
      </c>
      <c r="P71" s="41"/>
    </row>
    <row r="72" spans="1:28" s="42" customFormat="1" ht="10.5" customHeight="1" x14ac:dyDescent="0.2">
      <c r="A72" s="306"/>
      <c r="B72" s="307" t="s">
        <v>142</v>
      </c>
      <c r="C72" s="85">
        <f>35.05/2</f>
        <v>17.524999999999999</v>
      </c>
      <c r="D72" s="85">
        <f>34.79/2</f>
        <v>17.395</v>
      </c>
      <c r="E72" s="85">
        <f>36.01/2</f>
        <v>18.004999999999999</v>
      </c>
      <c r="F72" s="85">
        <f>32.88/2</f>
        <v>16.440000000000001</v>
      </c>
      <c r="G72" s="85">
        <f>29.26/2</f>
        <v>14.63</v>
      </c>
      <c r="H72" s="85" t="s">
        <v>77</v>
      </c>
      <c r="I72" s="85" t="s">
        <v>77</v>
      </c>
      <c r="J72" s="85" t="s">
        <v>77</v>
      </c>
      <c r="K72" s="85" t="s">
        <v>77</v>
      </c>
      <c r="L72" s="85" t="s">
        <v>77</v>
      </c>
      <c r="M72" s="85" t="s">
        <v>77</v>
      </c>
      <c r="N72" s="85" t="s">
        <v>77</v>
      </c>
      <c r="O72" s="85">
        <f>24.2/2</f>
        <v>12.1</v>
      </c>
      <c r="P72" s="483"/>
      <c r="Q72" s="41"/>
    </row>
    <row r="73" spans="1:28" s="14" customFormat="1" ht="4.9000000000000004" customHeight="1" x14ac:dyDescent="0.2">
      <c r="A73" s="135"/>
      <c r="B73" s="319"/>
      <c r="C73" s="435"/>
      <c r="D73" s="435"/>
      <c r="E73" s="435"/>
      <c r="F73" s="435"/>
      <c r="G73" s="435"/>
      <c r="H73" s="435"/>
      <c r="I73" s="435"/>
      <c r="J73" s="435"/>
      <c r="K73" s="435"/>
      <c r="L73" s="435"/>
      <c r="M73" s="435"/>
      <c r="N73" s="320"/>
      <c r="O73" s="320"/>
      <c r="P73" s="321"/>
      <c r="Q73" s="41"/>
    </row>
    <row r="74" spans="1:28" s="14" customFormat="1" ht="22.5" customHeight="1" x14ac:dyDescent="0.2">
      <c r="A74" s="571" t="s">
        <v>83</v>
      </c>
      <c r="B74" s="571" t="s">
        <v>1</v>
      </c>
      <c r="C74" s="383" t="s">
        <v>13</v>
      </c>
      <c r="D74" s="383" t="s">
        <v>14</v>
      </c>
      <c r="E74" s="383" t="s">
        <v>15</v>
      </c>
      <c r="F74" s="383" t="s">
        <v>4</v>
      </c>
      <c r="G74" s="383" t="s">
        <v>5</v>
      </c>
      <c r="H74" s="383" t="s">
        <v>6</v>
      </c>
      <c r="I74" s="383" t="s">
        <v>7</v>
      </c>
      <c r="J74" s="383" t="s">
        <v>8</v>
      </c>
      <c r="K74" s="383" t="s">
        <v>9</v>
      </c>
      <c r="L74" s="383" t="s">
        <v>10</v>
      </c>
      <c r="M74" s="383" t="s">
        <v>11</v>
      </c>
      <c r="N74" s="384" t="s">
        <v>12</v>
      </c>
      <c r="O74" s="385" t="s">
        <v>16</v>
      </c>
      <c r="P74" s="41"/>
      <c r="Q74" s="41"/>
    </row>
    <row r="75" spans="1:28" s="42" customFormat="1" ht="9.75" customHeight="1" x14ac:dyDescent="0.2">
      <c r="A75" s="572"/>
      <c r="B75" s="572"/>
      <c r="C75" s="568" t="s">
        <v>112</v>
      </c>
      <c r="D75" s="569"/>
      <c r="E75" s="569"/>
      <c r="F75" s="569"/>
      <c r="G75" s="569"/>
      <c r="H75" s="569"/>
      <c r="I75" s="569"/>
      <c r="J75" s="569"/>
      <c r="K75" s="569"/>
      <c r="L75" s="569"/>
      <c r="M75" s="569"/>
      <c r="N75" s="569"/>
      <c r="O75" s="570"/>
    </row>
    <row r="76" spans="1:28" s="14" customFormat="1" ht="3.75" customHeight="1" x14ac:dyDescent="0.2">
      <c r="A76" s="6"/>
      <c r="B76" s="96"/>
      <c r="C76" s="158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</row>
    <row r="77" spans="1:28" s="14" customFormat="1" ht="10.5" customHeight="1" x14ac:dyDescent="0.2">
      <c r="A77" s="133" t="s">
        <v>27</v>
      </c>
      <c r="B77" s="161" t="s">
        <v>56</v>
      </c>
      <c r="C77" s="156" t="s">
        <v>77</v>
      </c>
      <c r="D77" s="156">
        <v>9.0299999999999994</v>
      </c>
      <c r="E77" s="156">
        <v>8.08</v>
      </c>
      <c r="F77" s="156">
        <v>7.38</v>
      </c>
      <c r="G77" s="156">
        <v>6.03</v>
      </c>
      <c r="H77" s="156">
        <v>5.38</v>
      </c>
      <c r="I77" s="156">
        <v>5.63</v>
      </c>
      <c r="J77" s="156">
        <v>6.68</v>
      </c>
      <c r="K77" s="156">
        <v>7.73</v>
      </c>
      <c r="L77" s="156" t="s">
        <v>77</v>
      </c>
      <c r="M77" s="156" t="s">
        <v>77</v>
      </c>
      <c r="N77" s="254" t="s">
        <v>77</v>
      </c>
      <c r="O77" s="254" t="s">
        <v>82</v>
      </c>
      <c r="Q77" s="41"/>
      <c r="R77" s="42"/>
    </row>
    <row r="78" spans="1:28" s="14" customFormat="1" ht="10.5" customHeight="1" x14ac:dyDescent="0.2">
      <c r="A78" s="133"/>
      <c r="B78" s="161" t="s">
        <v>57</v>
      </c>
      <c r="C78" s="156" t="s">
        <v>77</v>
      </c>
      <c r="D78" s="156">
        <v>9.25</v>
      </c>
      <c r="E78" s="156">
        <v>8</v>
      </c>
      <c r="F78" s="156">
        <v>7.1</v>
      </c>
      <c r="G78" s="156">
        <v>6.8</v>
      </c>
      <c r="H78" s="156">
        <v>6.7</v>
      </c>
      <c r="I78" s="156">
        <v>8.1</v>
      </c>
      <c r="J78" s="156">
        <v>9.4</v>
      </c>
      <c r="K78" s="156">
        <v>9.5500000000000007</v>
      </c>
      <c r="L78" s="156" t="s">
        <v>77</v>
      </c>
      <c r="M78" s="156" t="s">
        <v>77</v>
      </c>
      <c r="N78" s="254" t="s">
        <v>77</v>
      </c>
      <c r="O78" s="254" t="s">
        <v>82</v>
      </c>
      <c r="Q78" s="41"/>
      <c r="R78" s="42"/>
    </row>
    <row r="79" spans="1:28" s="14" customFormat="1" ht="10.5" customHeight="1" x14ac:dyDescent="0.2">
      <c r="A79" s="133"/>
      <c r="B79" s="161" t="s">
        <v>60</v>
      </c>
      <c r="C79" s="156" t="s">
        <v>77</v>
      </c>
      <c r="D79" s="156">
        <v>8.86</v>
      </c>
      <c r="E79" s="156">
        <v>7.71</v>
      </c>
      <c r="F79" s="156">
        <v>7.01</v>
      </c>
      <c r="G79" s="156">
        <v>6.31</v>
      </c>
      <c r="H79" s="156">
        <v>6.21</v>
      </c>
      <c r="I79" s="156">
        <v>7.01</v>
      </c>
      <c r="J79" s="156">
        <v>9.2100000000000009</v>
      </c>
      <c r="K79" s="156">
        <v>12.11</v>
      </c>
      <c r="L79" s="156" t="s">
        <v>77</v>
      </c>
      <c r="M79" s="156" t="s">
        <v>77</v>
      </c>
      <c r="N79" s="254" t="s">
        <v>77</v>
      </c>
      <c r="O79" s="254" t="s">
        <v>82</v>
      </c>
      <c r="P79" s="41"/>
      <c r="Q79" s="41"/>
      <c r="R79" s="42"/>
    </row>
    <row r="80" spans="1:28" s="14" customFormat="1" ht="10.5" customHeight="1" x14ac:dyDescent="0.2">
      <c r="A80" s="133"/>
      <c r="B80" s="253" t="s">
        <v>64</v>
      </c>
      <c r="C80" s="254" t="s">
        <v>77</v>
      </c>
      <c r="D80" s="254">
        <v>10.37</v>
      </c>
      <c r="E80" s="254">
        <v>9.27</v>
      </c>
      <c r="F80" s="254">
        <v>12.17</v>
      </c>
      <c r="G80" s="254">
        <v>13.12</v>
      </c>
      <c r="H80" s="254">
        <v>13.07</v>
      </c>
      <c r="I80" s="254">
        <v>13.62</v>
      </c>
      <c r="J80" s="254">
        <v>13.72</v>
      </c>
      <c r="K80" s="254">
        <v>13.07</v>
      </c>
      <c r="L80" s="254" t="s">
        <v>77</v>
      </c>
      <c r="M80" s="254" t="s">
        <v>77</v>
      </c>
      <c r="N80" s="254" t="s">
        <v>77</v>
      </c>
      <c r="O80" s="254" t="s">
        <v>82</v>
      </c>
      <c r="P80" s="41"/>
      <c r="Q80" s="41"/>
      <c r="R80" s="42"/>
    </row>
    <row r="81" spans="1:24" s="14" customFormat="1" ht="10.5" customHeight="1" x14ac:dyDescent="0.2">
      <c r="A81" s="133"/>
      <c r="B81" s="255" t="s">
        <v>81</v>
      </c>
      <c r="C81" s="254" t="s">
        <v>77</v>
      </c>
      <c r="D81" s="254">
        <v>11.38</v>
      </c>
      <c r="E81" s="254">
        <v>10.93</v>
      </c>
      <c r="F81" s="254">
        <v>10.23</v>
      </c>
      <c r="G81" s="254">
        <v>9.68</v>
      </c>
      <c r="H81" s="254">
        <v>9.36</v>
      </c>
      <c r="I81" s="254">
        <v>9.83</v>
      </c>
      <c r="J81" s="254">
        <v>10.18</v>
      </c>
      <c r="K81" s="254">
        <v>9.58</v>
      </c>
      <c r="L81" s="254" t="s">
        <v>77</v>
      </c>
      <c r="M81" s="254" t="s">
        <v>77</v>
      </c>
      <c r="N81" s="254" t="s">
        <v>77</v>
      </c>
      <c r="O81" s="254" t="s">
        <v>82</v>
      </c>
      <c r="P81" s="41"/>
      <c r="Q81" s="41"/>
      <c r="R81" s="42"/>
    </row>
    <row r="82" spans="1:24" s="14" customFormat="1" ht="10.5" customHeight="1" x14ac:dyDescent="0.2">
      <c r="A82" s="133"/>
      <c r="B82" s="255" t="s">
        <v>88</v>
      </c>
      <c r="C82" s="254" t="s">
        <v>77</v>
      </c>
      <c r="D82" s="254">
        <v>11.93</v>
      </c>
      <c r="E82" s="254">
        <v>11.03</v>
      </c>
      <c r="F82" s="254">
        <v>9.7799999999999994</v>
      </c>
      <c r="G82" s="254">
        <v>8.48</v>
      </c>
      <c r="H82" s="254">
        <v>7.9</v>
      </c>
      <c r="I82" s="254">
        <v>7.53</v>
      </c>
      <c r="J82" s="254">
        <v>8.2799999999999994</v>
      </c>
      <c r="K82" s="254">
        <v>8.6300000000000008</v>
      </c>
      <c r="L82" s="254">
        <v>8.6300000000000008</v>
      </c>
      <c r="M82" s="254" t="s">
        <v>77</v>
      </c>
      <c r="N82" s="254" t="s">
        <v>77</v>
      </c>
      <c r="O82" s="254" t="s">
        <v>82</v>
      </c>
      <c r="P82" s="41"/>
      <c r="Q82" s="41"/>
      <c r="R82" s="42"/>
    </row>
    <row r="83" spans="1:24" s="14" customFormat="1" ht="10.5" customHeight="1" x14ac:dyDescent="0.2">
      <c r="A83" s="133"/>
      <c r="B83" s="204" t="s">
        <v>90</v>
      </c>
      <c r="C83" s="254" t="s">
        <v>77</v>
      </c>
      <c r="D83" s="254">
        <f>22.47/2</f>
        <v>11.234999999999999</v>
      </c>
      <c r="E83" s="254">
        <f>19.67/2</f>
        <v>9.8350000000000009</v>
      </c>
      <c r="F83" s="254">
        <f>18.67/2</f>
        <v>9.3350000000000009</v>
      </c>
      <c r="G83" s="254">
        <f>20.27/2</f>
        <v>10.135</v>
      </c>
      <c r="H83" s="254">
        <f>21.17/2</f>
        <v>10.585000000000001</v>
      </c>
      <c r="I83" s="254">
        <f>21.77/2</f>
        <v>10.885</v>
      </c>
      <c r="J83" s="254">
        <f>25.87/2</f>
        <v>12.935</v>
      </c>
      <c r="K83" s="254">
        <f>26.47/2</f>
        <v>13.234999999999999</v>
      </c>
      <c r="L83" s="277" t="s">
        <v>77</v>
      </c>
      <c r="M83" s="254" t="s">
        <v>77</v>
      </c>
      <c r="N83" s="254" t="s">
        <v>77</v>
      </c>
      <c r="O83" s="254" t="s">
        <v>82</v>
      </c>
      <c r="P83" s="41"/>
      <c r="Q83" s="262"/>
      <c r="R83" s="42"/>
      <c r="S83" s="42"/>
      <c r="T83" s="42"/>
      <c r="U83" s="42"/>
      <c r="V83" s="42"/>
      <c r="W83" s="42"/>
      <c r="X83" s="42"/>
    </row>
    <row r="84" spans="1:24" s="14" customFormat="1" ht="10.5" customHeight="1" x14ac:dyDescent="0.2">
      <c r="A84" s="133"/>
      <c r="B84" s="204" t="s">
        <v>94</v>
      </c>
      <c r="C84" s="254" t="s">
        <v>82</v>
      </c>
      <c r="D84" s="254">
        <f>30.78/2</f>
        <v>15.39</v>
      </c>
      <c r="E84" s="254">
        <f>28.48/2</f>
        <v>14.24</v>
      </c>
      <c r="F84" s="254">
        <f>28.98/2</f>
        <v>14.49</v>
      </c>
      <c r="G84" s="254">
        <f>29.08/2</f>
        <v>14.54</v>
      </c>
      <c r="H84" s="254">
        <f>27.98/2</f>
        <v>13.99</v>
      </c>
      <c r="I84" s="254">
        <f>28.18/2</f>
        <v>14.09</v>
      </c>
      <c r="J84" s="254">
        <f>31.68/2</f>
        <v>15.84</v>
      </c>
      <c r="K84" s="254">
        <f>33.78/2</f>
        <v>16.89</v>
      </c>
      <c r="L84" s="277" t="s">
        <v>77</v>
      </c>
      <c r="M84" s="254" t="s">
        <v>77</v>
      </c>
      <c r="N84" s="254" t="s">
        <v>77</v>
      </c>
      <c r="O84" s="254" t="s">
        <v>82</v>
      </c>
      <c r="P84" s="41"/>
      <c r="Q84" s="41"/>
      <c r="R84" s="42"/>
    </row>
    <row r="85" spans="1:24" s="42" customFormat="1" ht="10.5" customHeight="1" x14ac:dyDescent="0.2">
      <c r="A85" s="133"/>
      <c r="B85" s="204" t="s">
        <v>138</v>
      </c>
      <c r="C85" s="254" t="s">
        <v>82</v>
      </c>
      <c r="D85" s="254">
        <f>22.78/2</f>
        <v>11.39</v>
      </c>
      <c r="E85" s="254">
        <f>22.38/2</f>
        <v>11.19</v>
      </c>
      <c r="F85" s="254">
        <f>18.88/2</f>
        <v>9.44</v>
      </c>
      <c r="G85" s="254">
        <f>17.58/2</f>
        <v>8.7899999999999991</v>
      </c>
      <c r="H85" s="254">
        <f>18.28/2</f>
        <v>9.14</v>
      </c>
      <c r="I85" s="254">
        <f>17.48/2</f>
        <v>8.74</v>
      </c>
      <c r="J85" s="254">
        <f>16.78/2</f>
        <v>8.39</v>
      </c>
      <c r="K85" s="254">
        <f>16.88/2</f>
        <v>8.44</v>
      </c>
      <c r="L85" s="277" t="s">
        <v>77</v>
      </c>
      <c r="M85" s="254" t="s">
        <v>77</v>
      </c>
      <c r="N85" s="254" t="s">
        <v>77</v>
      </c>
      <c r="O85" s="254" t="s">
        <v>82</v>
      </c>
      <c r="P85" s="41"/>
      <c r="Q85" s="41"/>
    </row>
    <row r="86" spans="1:24" s="42" customFormat="1" ht="10.5" customHeight="1" x14ac:dyDescent="0.2">
      <c r="A86" s="133"/>
      <c r="B86" s="204" t="s">
        <v>142</v>
      </c>
      <c r="C86" s="254" t="s">
        <v>82</v>
      </c>
      <c r="D86" s="254">
        <f>21.58/2</f>
        <v>10.79</v>
      </c>
      <c r="E86" s="254">
        <f>20.68/2</f>
        <v>10.34</v>
      </c>
      <c r="F86" s="254" t="s">
        <v>77</v>
      </c>
      <c r="G86" s="254" t="s">
        <v>77</v>
      </c>
      <c r="H86" s="254" t="s">
        <v>77</v>
      </c>
      <c r="I86" s="254" t="s">
        <v>77</v>
      </c>
      <c r="J86" s="254" t="s">
        <v>77</v>
      </c>
      <c r="K86" s="254" t="s">
        <v>77</v>
      </c>
      <c r="L86" s="254" t="s">
        <v>77</v>
      </c>
      <c r="M86" s="254" t="s">
        <v>77</v>
      </c>
      <c r="N86" s="254" t="s">
        <v>77</v>
      </c>
      <c r="O86" s="254" t="s">
        <v>82</v>
      </c>
      <c r="P86" s="406"/>
    </row>
    <row r="87" spans="1:24" s="14" customFormat="1" ht="6.6" customHeight="1" x14ac:dyDescent="0.2">
      <c r="A87" s="133"/>
      <c r="B87" s="256"/>
      <c r="C87" s="257"/>
      <c r="D87" s="257"/>
      <c r="E87" s="257"/>
      <c r="F87" s="257"/>
      <c r="G87" s="257"/>
      <c r="H87" s="257"/>
      <c r="I87" s="257"/>
      <c r="J87" s="257"/>
      <c r="K87" s="257"/>
      <c r="L87" s="257"/>
      <c r="M87" s="257"/>
      <c r="N87" s="257"/>
      <c r="O87" s="254"/>
      <c r="P87" s="41"/>
    </row>
    <row r="88" spans="1:24" s="14" customFormat="1" ht="10.5" customHeight="1" x14ac:dyDescent="0.2">
      <c r="A88" s="133" t="s">
        <v>26</v>
      </c>
      <c r="B88" s="253" t="s">
        <v>56</v>
      </c>
      <c r="C88" s="254" t="s">
        <v>77</v>
      </c>
      <c r="D88" s="254" t="s">
        <v>82</v>
      </c>
      <c r="E88" s="254" t="s">
        <v>82</v>
      </c>
      <c r="F88" s="254" t="s">
        <v>82</v>
      </c>
      <c r="G88" s="254" t="s">
        <v>82</v>
      </c>
      <c r="H88" s="254" t="s">
        <v>82</v>
      </c>
      <c r="I88" s="254" t="s">
        <v>82</v>
      </c>
      <c r="J88" s="254" t="s">
        <v>82</v>
      </c>
      <c r="K88" s="254" t="s">
        <v>82</v>
      </c>
      <c r="L88" s="254" t="s">
        <v>77</v>
      </c>
      <c r="M88" s="254" t="s">
        <v>77</v>
      </c>
      <c r="N88" s="254" t="s">
        <v>77</v>
      </c>
      <c r="O88" s="156" t="s">
        <v>82</v>
      </c>
    </row>
    <row r="89" spans="1:24" s="14" customFormat="1" ht="10.5" customHeight="1" x14ac:dyDescent="0.2">
      <c r="A89" s="133"/>
      <c r="B89" s="253" t="s">
        <v>57</v>
      </c>
      <c r="C89" s="254" t="s">
        <v>77</v>
      </c>
      <c r="D89" s="254" t="s">
        <v>82</v>
      </c>
      <c r="E89" s="254" t="s">
        <v>82</v>
      </c>
      <c r="F89" s="254" t="s">
        <v>82</v>
      </c>
      <c r="G89" s="254" t="s">
        <v>82</v>
      </c>
      <c r="H89" s="254" t="s">
        <v>82</v>
      </c>
      <c r="I89" s="254" t="s">
        <v>82</v>
      </c>
      <c r="J89" s="254" t="s">
        <v>82</v>
      </c>
      <c r="K89" s="254" t="s">
        <v>82</v>
      </c>
      <c r="L89" s="254" t="s">
        <v>77</v>
      </c>
      <c r="M89" s="254" t="s">
        <v>77</v>
      </c>
      <c r="N89" s="254" t="s">
        <v>77</v>
      </c>
      <c r="O89" s="156" t="s">
        <v>82</v>
      </c>
    </row>
    <row r="90" spans="1:24" s="14" customFormat="1" ht="10.5" customHeight="1" x14ac:dyDescent="0.2">
      <c r="A90" s="133"/>
      <c r="B90" s="253" t="s">
        <v>60</v>
      </c>
      <c r="C90" s="254" t="s">
        <v>77</v>
      </c>
      <c r="D90" s="254" t="s">
        <v>82</v>
      </c>
      <c r="E90" s="254" t="s">
        <v>82</v>
      </c>
      <c r="F90" s="254" t="s">
        <v>82</v>
      </c>
      <c r="G90" s="254" t="s">
        <v>82</v>
      </c>
      <c r="H90" s="254" t="s">
        <v>82</v>
      </c>
      <c r="I90" s="254" t="s">
        <v>82</v>
      </c>
      <c r="J90" s="254" t="s">
        <v>82</v>
      </c>
      <c r="K90" s="254" t="s">
        <v>82</v>
      </c>
      <c r="L90" s="254" t="s">
        <v>77</v>
      </c>
      <c r="M90" s="254" t="s">
        <v>77</v>
      </c>
      <c r="N90" s="254" t="s">
        <v>77</v>
      </c>
      <c r="O90" s="254" t="s">
        <v>82</v>
      </c>
    </row>
    <row r="91" spans="1:24" s="14" customFormat="1" ht="10.5" customHeight="1" x14ac:dyDescent="0.2">
      <c r="A91" s="133"/>
      <c r="B91" s="253" t="s">
        <v>64</v>
      </c>
      <c r="C91" s="254" t="s">
        <v>77</v>
      </c>
      <c r="D91" s="254" t="s">
        <v>82</v>
      </c>
      <c r="E91" s="254" t="s">
        <v>82</v>
      </c>
      <c r="F91" s="254" t="s">
        <v>82</v>
      </c>
      <c r="G91" s="254" t="s">
        <v>82</v>
      </c>
      <c r="H91" s="254" t="s">
        <v>82</v>
      </c>
      <c r="I91" s="254" t="s">
        <v>82</v>
      </c>
      <c r="J91" s="254" t="s">
        <v>82</v>
      </c>
      <c r="K91" s="254" t="s">
        <v>82</v>
      </c>
      <c r="L91" s="254" t="s">
        <v>77</v>
      </c>
      <c r="M91" s="254" t="s">
        <v>77</v>
      </c>
      <c r="N91" s="254" t="s">
        <v>77</v>
      </c>
      <c r="O91" s="254" t="s">
        <v>82</v>
      </c>
    </row>
    <row r="92" spans="1:24" s="14" customFormat="1" ht="10.5" customHeight="1" x14ac:dyDescent="0.2">
      <c r="A92" s="133"/>
      <c r="B92" s="255" t="s">
        <v>81</v>
      </c>
      <c r="C92" s="254" t="s">
        <v>77</v>
      </c>
      <c r="D92" s="254" t="s">
        <v>82</v>
      </c>
      <c r="E92" s="254" t="s">
        <v>82</v>
      </c>
      <c r="F92" s="254" t="s">
        <v>82</v>
      </c>
      <c r="G92" s="254" t="s">
        <v>82</v>
      </c>
      <c r="H92" s="254" t="s">
        <v>82</v>
      </c>
      <c r="I92" s="254" t="s">
        <v>82</v>
      </c>
      <c r="J92" s="254" t="s">
        <v>82</v>
      </c>
      <c r="K92" s="254" t="s">
        <v>82</v>
      </c>
      <c r="L92" s="254" t="s">
        <v>77</v>
      </c>
      <c r="M92" s="254" t="s">
        <v>77</v>
      </c>
      <c r="N92" s="254" t="s">
        <v>77</v>
      </c>
      <c r="O92" s="254" t="s">
        <v>82</v>
      </c>
      <c r="P92" s="41"/>
      <c r="Q92" s="41"/>
    </row>
    <row r="93" spans="1:24" s="14" customFormat="1" ht="10.5" customHeight="1" x14ac:dyDescent="0.2">
      <c r="A93" s="133"/>
      <c r="B93" s="255" t="s">
        <v>88</v>
      </c>
      <c r="C93" s="254" t="s">
        <v>77</v>
      </c>
      <c r="D93" s="254" t="s">
        <v>82</v>
      </c>
      <c r="E93" s="254" t="s">
        <v>82</v>
      </c>
      <c r="F93" s="254" t="s">
        <v>82</v>
      </c>
      <c r="G93" s="254" t="s">
        <v>82</v>
      </c>
      <c r="H93" s="254" t="s">
        <v>82</v>
      </c>
      <c r="I93" s="254" t="s">
        <v>82</v>
      </c>
      <c r="J93" s="254" t="s">
        <v>82</v>
      </c>
      <c r="K93" s="254" t="s">
        <v>82</v>
      </c>
      <c r="L93" s="254" t="s">
        <v>77</v>
      </c>
      <c r="M93" s="254" t="s">
        <v>77</v>
      </c>
      <c r="N93" s="254" t="s">
        <v>77</v>
      </c>
      <c r="O93" s="254" t="s">
        <v>82</v>
      </c>
      <c r="P93" s="41"/>
      <c r="Q93" s="41"/>
    </row>
    <row r="94" spans="1:24" s="14" customFormat="1" ht="10.5" customHeight="1" x14ac:dyDescent="0.2">
      <c r="A94" s="133"/>
      <c r="B94" s="204" t="s">
        <v>90</v>
      </c>
      <c r="C94" s="254" t="s">
        <v>77</v>
      </c>
      <c r="D94" s="254" t="s">
        <v>82</v>
      </c>
      <c r="E94" s="254" t="s">
        <v>82</v>
      </c>
      <c r="F94" s="254" t="s">
        <v>82</v>
      </c>
      <c r="G94" s="254" t="s">
        <v>82</v>
      </c>
      <c r="H94" s="254" t="s">
        <v>82</v>
      </c>
      <c r="I94" s="254" t="s">
        <v>82</v>
      </c>
      <c r="J94" s="254" t="s">
        <v>82</v>
      </c>
      <c r="K94" s="254" t="s">
        <v>82</v>
      </c>
      <c r="L94" s="254" t="s">
        <v>77</v>
      </c>
      <c r="M94" s="254" t="s">
        <v>77</v>
      </c>
      <c r="N94" s="254" t="s">
        <v>77</v>
      </c>
      <c r="O94" s="254" t="s">
        <v>82</v>
      </c>
      <c r="P94" s="41"/>
      <c r="Q94" s="41"/>
    </row>
    <row r="95" spans="1:24" s="14" customFormat="1" ht="10.5" customHeight="1" x14ac:dyDescent="0.2">
      <c r="A95" s="133"/>
      <c r="B95" s="204" t="s">
        <v>94</v>
      </c>
      <c r="C95" s="254" t="s">
        <v>77</v>
      </c>
      <c r="D95" s="254" t="s">
        <v>82</v>
      </c>
      <c r="E95" s="254" t="s">
        <v>82</v>
      </c>
      <c r="F95" s="254" t="s">
        <v>82</v>
      </c>
      <c r="G95" s="254" t="s">
        <v>82</v>
      </c>
      <c r="H95" s="254" t="s">
        <v>82</v>
      </c>
      <c r="I95" s="254" t="s">
        <v>82</v>
      </c>
      <c r="J95" s="254" t="s">
        <v>82</v>
      </c>
      <c r="K95" s="254" t="s">
        <v>82</v>
      </c>
      <c r="L95" s="254" t="s">
        <v>77</v>
      </c>
      <c r="M95" s="254" t="s">
        <v>77</v>
      </c>
      <c r="N95" s="254" t="s">
        <v>77</v>
      </c>
      <c r="O95" s="254" t="s">
        <v>82</v>
      </c>
      <c r="P95" s="41"/>
      <c r="Q95" s="41"/>
    </row>
    <row r="96" spans="1:24" s="42" customFormat="1" ht="10.5" customHeight="1" x14ac:dyDescent="0.2">
      <c r="A96" s="133"/>
      <c r="B96" s="204" t="s">
        <v>138</v>
      </c>
      <c r="C96" s="254" t="s">
        <v>77</v>
      </c>
      <c r="D96" s="254" t="s">
        <v>82</v>
      </c>
      <c r="E96" s="254" t="s">
        <v>82</v>
      </c>
      <c r="F96" s="254" t="s">
        <v>82</v>
      </c>
      <c r="G96" s="254" t="s">
        <v>82</v>
      </c>
      <c r="H96" s="254" t="s">
        <v>82</v>
      </c>
      <c r="I96" s="254" t="s">
        <v>82</v>
      </c>
      <c r="J96" s="254" t="s">
        <v>82</v>
      </c>
      <c r="K96" s="254" t="s">
        <v>82</v>
      </c>
      <c r="L96" s="254" t="s">
        <v>77</v>
      </c>
      <c r="M96" s="254" t="s">
        <v>77</v>
      </c>
      <c r="N96" s="254" t="s">
        <v>77</v>
      </c>
      <c r="O96" s="254" t="s">
        <v>82</v>
      </c>
      <c r="P96" s="41"/>
      <c r="Q96" s="41"/>
    </row>
    <row r="97" spans="1:26" s="42" customFormat="1" ht="10.5" customHeight="1" x14ac:dyDescent="0.2">
      <c r="A97" s="133"/>
      <c r="B97" s="204" t="s">
        <v>142</v>
      </c>
      <c r="C97" s="254" t="s">
        <v>77</v>
      </c>
      <c r="D97" s="254" t="s">
        <v>82</v>
      </c>
      <c r="E97" s="254" t="s">
        <v>82</v>
      </c>
      <c r="F97" s="254" t="s">
        <v>77</v>
      </c>
      <c r="G97" s="254" t="s">
        <v>77</v>
      </c>
      <c r="H97" s="254" t="s">
        <v>77</v>
      </c>
      <c r="I97" s="254" t="s">
        <v>77</v>
      </c>
      <c r="J97" s="254" t="s">
        <v>77</v>
      </c>
      <c r="K97" s="254" t="s">
        <v>77</v>
      </c>
      <c r="L97" s="254" t="s">
        <v>77</v>
      </c>
      <c r="M97" s="254" t="s">
        <v>77</v>
      </c>
      <c r="N97" s="254" t="s">
        <v>77</v>
      </c>
      <c r="O97" s="254" t="s">
        <v>82</v>
      </c>
      <c r="P97" s="41"/>
      <c r="Q97" s="41"/>
    </row>
    <row r="98" spans="1:26" s="14" customFormat="1" ht="5.25" customHeight="1" x14ac:dyDescent="0.2">
      <c r="A98" s="133"/>
      <c r="B98" s="256"/>
      <c r="C98" s="257"/>
      <c r="D98" s="257"/>
      <c r="E98" s="257"/>
      <c r="F98" s="257"/>
      <c r="G98" s="257"/>
      <c r="H98" s="257"/>
      <c r="I98" s="257"/>
      <c r="J98" s="257"/>
      <c r="K98" s="257"/>
      <c r="L98" s="257"/>
      <c r="M98" s="257"/>
      <c r="N98" s="257"/>
      <c r="O98" s="254"/>
      <c r="P98" s="41"/>
      <c r="Q98" s="41"/>
    </row>
    <row r="99" spans="1:26" s="14" customFormat="1" ht="10.5" customHeight="1" x14ac:dyDescent="0.2">
      <c r="A99" s="133" t="s">
        <v>25</v>
      </c>
      <c r="B99" s="253" t="s">
        <v>56</v>
      </c>
      <c r="C99" s="85" t="s">
        <v>77</v>
      </c>
      <c r="D99" s="85">
        <v>8.5299999999999994</v>
      </c>
      <c r="E99" s="85">
        <v>6.8</v>
      </c>
      <c r="F99" s="85">
        <v>6.43</v>
      </c>
      <c r="G99" s="85">
        <v>4.7699999999999996</v>
      </c>
      <c r="H99" s="85">
        <v>4.0999999999999996</v>
      </c>
      <c r="I99" s="85">
        <v>4.04</v>
      </c>
      <c r="J99" s="85">
        <v>4.32</v>
      </c>
      <c r="K99" s="85">
        <v>5.32</v>
      </c>
      <c r="L99" s="85" t="s">
        <v>77</v>
      </c>
      <c r="M99" s="85" t="s">
        <v>77</v>
      </c>
      <c r="N99" s="85" t="s">
        <v>77</v>
      </c>
      <c r="O99" s="85">
        <v>5.25</v>
      </c>
    </row>
    <row r="100" spans="1:26" s="14" customFormat="1" ht="10.5" customHeight="1" x14ac:dyDescent="0.2">
      <c r="A100" s="133"/>
      <c r="B100" s="253" t="s">
        <v>57</v>
      </c>
      <c r="C100" s="85" t="s">
        <v>77</v>
      </c>
      <c r="D100" s="85">
        <v>7.78</v>
      </c>
      <c r="E100" s="85">
        <v>7.13</v>
      </c>
      <c r="F100" s="85">
        <v>6.15</v>
      </c>
      <c r="G100" s="85">
        <v>5.46</v>
      </c>
      <c r="H100" s="85">
        <v>5.72</v>
      </c>
      <c r="I100" s="85">
        <v>6.9</v>
      </c>
      <c r="J100" s="85">
        <v>8.66</v>
      </c>
      <c r="K100" s="85">
        <v>8.0399999999999991</v>
      </c>
      <c r="L100" s="85" t="s">
        <v>77</v>
      </c>
      <c r="M100" s="85" t="s">
        <v>77</v>
      </c>
      <c r="N100" s="85" t="s">
        <v>77</v>
      </c>
      <c r="O100" s="85">
        <v>6.68</v>
      </c>
      <c r="P100" s="42"/>
      <c r="Q100" s="41"/>
      <c r="R100" s="42"/>
    </row>
    <row r="101" spans="1:26" s="14" customFormat="1" ht="10.5" customHeight="1" x14ac:dyDescent="0.2">
      <c r="A101" s="133"/>
      <c r="B101" s="253" t="s">
        <v>60</v>
      </c>
      <c r="C101" s="85" t="s">
        <v>77</v>
      </c>
      <c r="D101" s="85">
        <v>8.02</v>
      </c>
      <c r="E101" s="85">
        <v>7.22</v>
      </c>
      <c r="F101" s="85">
        <v>6.61</v>
      </c>
      <c r="G101" s="85">
        <v>5.41</v>
      </c>
      <c r="H101" s="85">
        <v>5.27</v>
      </c>
      <c r="I101" s="85">
        <v>5.75</v>
      </c>
      <c r="J101" s="85">
        <v>8.2899999999999991</v>
      </c>
      <c r="K101" s="85">
        <v>10.25</v>
      </c>
      <c r="L101" s="85" t="s">
        <v>77</v>
      </c>
      <c r="M101" s="85" t="s">
        <v>77</v>
      </c>
      <c r="N101" s="85" t="s">
        <v>77</v>
      </c>
      <c r="O101" s="85">
        <v>6.48</v>
      </c>
      <c r="P101" s="42"/>
      <c r="Q101" s="41"/>
      <c r="R101" s="42"/>
    </row>
    <row r="102" spans="1:26" s="14" customFormat="1" ht="10.5" customHeight="1" x14ac:dyDescent="0.2">
      <c r="A102" s="133"/>
      <c r="B102" s="253" t="s">
        <v>64</v>
      </c>
      <c r="C102" s="85" t="s">
        <v>77</v>
      </c>
      <c r="D102" s="85">
        <v>9.69</v>
      </c>
      <c r="E102" s="85">
        <v>8.6999999999999993</v>
      </c>
      <c r="F102" s="85">
        <v>8.3699999999999992</v>
      </c>
      <c r="G102" s="85">
        <v>10.45</v>
      </c>
      <c r="H102" s="85">
        <v>10.99</v>
      </c>
      <c r="I102" s="85">
        <v>10.07</v>
      </c>
      <c r="J102" s="85">
        <v>9.94</v>
      </c>
      <c r="K102" s="85">
        <v>6.38</v>
      </c>
      <c r="L102" s="85" t="s">
        <v>77</v>
      </c>
      <c r="M102" s="85" t="s">
        <v>77</v>
      </c>
      <c r="N102" s="85" t="s">
        <v>77</v>
      </c>
      <c r="O102" s="85">
        <v>9.57</v>
      </c>
      <c r="P102" s="42"/>
      <c r="Q102" s="41"/>
      <c r="R102" s="42"/>
    </row>
    <row r="103" spans="1:26" s="14" customFormat="1" ht="10.5" customHeight="1" x14ac:dyDescent="0.2">
      <c r="A103" s="133"/>
      <c r="B103" s="255" t="s">
        <v>81</v>
      </c>
      <c r="C103" s="85" t="s">
        <v>77</v>
      </c>
      <c r="D103" s="85">
        <v>10.06</v>
      </c>
      <c r="E103" s="85">
        <v>9.65</v>
      </c>
      <c r="F103" s="85">
        <v>8.7899999999999991</v>
      </c>
      <c r="G103" s="85">
        <v>8.01</v>
      </c>
      <c r="H103" s="85">
        <v>7.62</v>
      </c>
      <c r="I103" s="85">
        <v>7.09</v>
      </c>
      <c r="J103" s="85">
        <v>6.75</v>
      </c>
      <c r="K103" s="85">
        <v>6.4</v>
      </c>
      <c r="L103" s="85" t="s">
        <v>77</v>
      </c>
      <c r="M103" s="85" t="s">
        <v>77</v>
      </c>
      <c r="N103" s="85" t="s">
        <v>77</v>
      </c>
      <c r="O103" s="85">
        <v>8.15</v>
      </c>
      <c r="P103" s="42"/>
      <c r="Q103" s="41"/>
      <c r="R103" s="42"/>
    </row>
    <row r="104" spans="1:26" s="14" customFormat="1" ht="10.5" customHeight="1" x14ac:dyDescent="0.2">
      <c r="A104" s="133"/>
      <c r="B104" s="255" t="s">
        <v>88</v>
      </c>
      <c r="C104" s="85" t="s">
        <v>77</v>
      </c>
      <c r="D104" s="85">
        <v>10.69</v>
      </c>
      <c r="E104" s="85">
        <v>9.8800000000000008</v>
      </c>
      <c r="F104" s="85">
        <v>8.5</v>
      </c>
      <c r="G104" s="85">
        <v>7.2</v>
      </c>
      <c r="H104" s="85">
        <v>6.39</v>
      </c>
      <c r="I104" s="85">
        <v>5.81</v>
      </c>
      <c r="J104" s="85">
        <v>5.9</v>
      </c>
      <c r="K104" s="85">
        <v>5.23</v>
      </c>
      <c r="L104" s="85">
        <v>5.23</v>
      </c>
      <c r="M104" s="85" t="s">
        <v>77</v>
      </c>
      <c r="N104" s="85" t="s">
        <v>77</v>
      </c>
      <c r="O104" s="85">
        <v>7.33</v>
      </c>
      <c r="P104" s="42"/>
      <c r="Q104" s="41"/>
      <c r="R104" s="42"/>
    </row>
    <row r="105" spans="1:26" s="14" customFormat="1" ht="10.5" customHeight="1" x14ac:dyDescent="0.2">
      <c r="A105" s="133"/>
      <c r="B105" s="204" t="s">
        <v>90</v>
      </c>
      <c r="C105" s="85" t="s">
        <v>77</v>
      </c>
      <c r="D105" s="85">
        <f>20.24/2</f>
        <v>10.119999999999999</v>
      </c>
      <c r="E105" s="85">
        <f>16.88/2</f>
        <v>8.44</v>
      </c>
      <c r="F105" s="85">
        <f>15.97/2</f>
        <v>7.9850000000000003</v>
      </c>
      <c r="G105" s="85">
        <f>17.45/2</f>
        <v>8.7249999999999996</v>
      </c>
      <c r="H105" s="85">
        <f>17.54/2</f>
        <v>8.77</v>
      </c>
      <c r="I105" s="85">
        <f>17.8/2</f>
        <v>8.9</v>
      </c>
      <c r="J105" s="85">
        <f>20.7/2</f>
        <v>10.35</v>
      </c>
      <c r="K105" s="85">
        <f>23.11/2</f>
        <v>11.555</v>
      </c>
      <c r="L105" s="85" t="s">
        <v>77</v>
      </c>
      <c r="M105" s="85" t="s">
        <v>77</v>
      </c>
      <c r="N105" s="85" t="s">
        <v>77</v>
      </c>
      <c r="O105" s="85">
        <v>8.99</v>
      </c>
      <c r="P105" s="42"/>
      <c r="Q105" s="41"/>
      <c r="R105" s="42"/>
    </row>
    <row r="106" spans="1:26" s="14" customFormat="1" ht="10.5" customHeight="1" x14ac:dyDescent="0.2">
      <c r="A106" s="133"/>
      <c r="B106" s="204" t="s">
        <v>94</v>
      </c>
      <c r="C106" s="85" t="s">
        <v>82</v>
      </c>
      <c r="D106" s="85">
        <f>27.85/2</f>
        <v>13.925000000000001</v>
      </c>
      <c r="E106" s="85">
        <f>25.81/2</f>
        <v>12.904999999999999</v>
      </c>
      <c r="F106" s="85">
        <f>25.87/2</f>
        <v>12.935</v>
      </c>
      <c r="G106" s="85">
        <f>25.74/2</f>
        <v>12.87</v>
      </c>
      <c r="H106" s="85">
        <f>23.28/2</f>
        <v>11.64</v>
      </c>
      <c r="I106" s="85">
        <f>22.66/2</f>
        <v>11.33</v>
      </c>
      <c r="J106" s="85">
        <f>24.77/2</f>
        <v>12.385</v>
      </c>
      <c r="K106" s="85">
        <f>29.63/2</f>
        <v>14.815</v>
      </c>
      <c r="L106" s="85" t="s">
        <v>77</v>
      </c>
      <c r="M106" s="85" t="s">
        <v>77</v>
      </c>
      <c r="N106" s="85" t="s">
        <v>77</v>
      </c>
      <c r="O106" s="85">
        <v>12.68</v>
      </c>
      <c r="P106" s="42"/>
      <c r="Q106" s="262"/>
      <c r="R106" s="42"/>
      <c r="S106" s="41"/>
      <c r="T106" s="41"/>
      <c r="U106" s="41"/>
      <c r="V106" s="41"/>
      <c r="W106" s="41"/>
      <c r="X106" s="41"/>
      <c r="Y106" s="41"/>
      <c r="Z106" s="41"/>
    </row>
    <row r="107" spans="1:26" s="42" customFormat="1" ht="10.5" customHeight="1" x14ac:dyDescent="0.2">
      <c r="A107" s="133"/>
      <c r="B107" s="204" t="s">
        <v>138</v>
      </c>
      <c r="C107" s="85" t="s">
        <v>82</v>
      </c>
      <c r="D107" s="85">
        <f>20.6/2</f>
        <v>10.3</v>
      </c>
      <c r="E107" s="85">
        <f>18.76/2</f>
        <v>9.3800000000000008</v>
      </c>
      <c r="F107" s="85">
        <f>15.34/2</f>
        <v>7.67</v>
      </c>
      <c r="G107" s="85">
        <f>13.19/2</f>
        <v>6.5949999999999998</v>
      </c>
      <c r="H107" s="85">
        <f>14.44/2</f>
        <v>7.22</v>
      </c>
      <c r="I107" s="85">
        <f>12.2/2</f>
        <v>6.1</v>
      </c>
      <c r="J107" s="85">
        <f>10.06/2</f>
        <v>5.03</v>
      </c>
      <c r="K107" s="85">
        <f>5.98/2</f>
        <v>2.99</v>
      </c>
      <c r="L107" s="85" t="s">
        <v>77</v>
      </c>
      <c r="M107" s="85" t="s">
        <v>77</v>
      </c>
      <c r="N107" s="85" t="s">
        <v>77</v>
      </c>
      <c r="O107" s="85">
        <f>14.19/2</f>
        <v>7.0949999999999998</v>
      </c>
      <c r="P107" s="41"/>
      <c r="Q107" s="41"/>
    </row>
    <row r="108" spans="1:26" s="42" customFormat="1" ht="10.5" customHeight="1" x14ac:dyDescent="0.2">
      <c r="A108" s="133"/>
      <c r="B108" s="204" t="s">
        <v>142</v>
      </c>
      <c r="C108" s="85" t="s">
        <v>82</v>
      </c>
      <c r="D108" s="85">
        <f>18/2</f>
        <v>9</v>
      </c>
      <c r="E108" s="85">
        <f>17.13/2</f>
        <v>8.5649999999999995</v>
      </c>
      <c r="F108" s="85" t="s">
        <v>77</v>
      </c>
      <c r="G108" s="85" t="s">
        <v>77</v>
      </c>
      <c r="H108" s="85" t="s">
        <v>77</v>
      </c>
      <c r="I108" s="85" t="s">
        <v>77</v>
      </c>
      <c r="J108" s="85" t="s">
        <v>77</v>
      </c>
      <c r="K108" s="85" t="s">
        <v>77</v>
      </c>
      <c r="L108" s="85" t="s">
        <v>77</v>
      </c>
      <c r="M108" s="85" t="s">
        <v>77</v>
      </c>
      <c r="N108" s="85" t="s">
        <v>77</v>
      </c>
      <c r="O108" s="85">
        <f>15.26/2</f>
        <v>7.63</v>
      </c>
      <c r="P108" s="483"/>
      <c r="Q108" s="41"/>
    </row>
    <row r="109" spans="1:26" s="14" customFormat="1" ht="7.9" customHeight="1" x14ac:dyDescent="0.2">
      <c r="A109" s="133"/>
      <c r="B109" s="96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260"/>
      <c r="N109" s="260"/>
      <c r="O109" s="260"/>
      <c r="P109" s="41"/>
      <c r="Q109" s="41"/>
    </row>
    <row r="110" spans="1:26" s="14" customFormat="1" ht="22.5" customHeight="1" x14ac:dyDescent="0.2">
      <c r="A110" s="571" t="s">
        <v>23</v>
      </c>
      <c r="B110" s="566" t="s">
        <v>1</v>
      </c>
      <c r="C110" s="383" t="s">
        <v>5</v>
      </c>
      <c r="D110" s="383" t="s">
        <v>6</v>
      </c>
      <c r="E110" s="383" t="s">
        <v>7</v>
      </c>
      <c r="F110" s="383" t="s">
        <v>8</v>
      </c>
      <c r="G110" s="383" t="s">
        <v>9</v>
      </c>
      <c r="H110" s="383" t="s">
        <v>10</v>
      </c>
      <c r="I110" s="383" t="s">
        <v>11</v>
      </c>
      <c r="J110" s="383" t="s">
        <v>12</v>
      </c>
      <c r="K110" s="383" t="s">
        <v>13</v>
      </c>
      <c r="L110" s="383" t="s">
        <v>14</v>
      </c>
      <c r="M110" s="383" t="s">
        <v>15</v>
      </c>
      <c r="N110" s="384" t="s">
        <v>4</v>
      </c>
      <c r="O110" s="385" t="s">
        <v>16</v>
      </c>
      <c r="P110" s="41"/>
      <c r="Q110" s="41"/>
    </row>
    <row r="111" spans="1:26" ht="9.75" customHeight="1" x14ac:dyDescent="0.2">
      <c r="A111" s="572"/>
      <c r="B111" s="567"/>
      <c r="C111" s="568" t="s">
        <v>112</v>
      </c>
      <c r="D111" s="569"/>
      <c r="E111" s="569"/>
      <c r="F111" s="569"/>
      <c r="G111" s="569"/>
      <c r="H111" s="569"/>
      <c r="I111" s="569"/>
      <c r="J111" s="569"/>
      <c r="K111" s="569"/>
      <c r="L111" s="569"/>
      <c r="M111" s="569"/>
      <c r="N111" s="569"/>
      <c r="O111" s="570"/>
    </row>
    <row r="112" spans="1:26" s="14" customFormat="1" ht="3" customHeight="1" x14ac:dyDescent="0.2">
      <c r="A112" s="162"/>
      <c r="B112" s="96"/>
      <c r="C112" s="158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</row>
    <row r="113" spans="1:22" s="14" customFormat="1" ht="10.5" customHeight="1" x14ac:dyDescent="0.2">
      <c r="A113" s="133" t="s">
        <v>27</v>
      </c>
      <c r="B113" s="161" t="s">
        <v>56</v>
      </c>
      <c r="C113" s="156" t="s">
        <v>77</v>
      </c>
      <c r="D113" s="156" t="s">
        <v>82</v>
      </c>
      <c r="E113" s="156" t="s">
        <v>82</v>
      </c>
      <c r="F113" s="156">
        <v>6.18</v>
      </c>
      <c r="G113" s="156">
        <v>6.18</v>
      </c>
      <c r="H113" s="156">
        <v>6.13</v>
      </c>
      <c r="I113" s="156">
        <v>6.58</v>
      </c>
      <c r="J113" s="156">
        <v>6.93</v>
      </c>
      <c r="K113" s="156">
        <v>6.78</v>
      </c>
      <c r="L113" s="156" t="s">
        <v>82</v>
      </c>
      <c r="M113" s="156" t="s">
        <v>77</v>
      </c>
      <c r="N113" s="254" t="s">
        <v>77</v>
      </c>
      <c r="O113" s="254" t="s">
        <v>82</v>
      </c>
    </row>
    <row r="114" spans="1:22" s="14" customFormat="1" ht="10.5" customHeight="1" x14ac:dyDescent="0.2">
      <c r="A114" s="133"/>
      <c r="B114" s="161" t="s">
        <v>57</v>
      </c>
      <c r="C114" s="156" t="s">
        <v>77</v>
      </c>
      <c r="D114" s="156" t="s">
        <v>82</v>
      </c>
      <c r="E114" s="156" t="s">
        <v>82</v>
      </c>
      <c r="F114" s="156">
        <v>7.95</v>
      </c>
      <c r="G114" s="156">
        <v>7.55</v>
      </c>
      <c r="H114" s="156">
        <v>6.75</v>
      </c>
      <c r="I114" s="156">
        <v>6.35</v>
      </c>
      <c r="J114" s="156">
        <v>7.5</v>
      </c>
      <c r="K114" s="156">
        <v>7.3</v>
      </c>
      <c r="L114" s="156" t="s">
        <v>77</v>
      </c>
      <c r="M114" s="156" t="s">
        <v>77</v>
      </c>
      <c r="N114" s="254" t="s">
        <v>77</v>
      </c>
      <c r="O114" s="254" t="s">
        <v>82</v>
      </c>
      <c r="Q114" s="41"/>
      <c r="R114" s="42"/>
    </row>
    <row r="115" spans="1:22" s="14" customFormat="1" ht="10.5" customHeight="1" x14ac:dyDescent="0.2">
      <c r="A115" s="133"/>
      <c r="B115" s="161" t="s">
        <v>60</v>
      </c>
      <c r="C115" s="156" t="s">
        <v>77</v>
      </c>
      <c r="D115" s="156" t="s">
        <v>82</v>
      </c>
      <c r="E115" s="156" t="s">
        <v>82</v>
      </c>
      <c r="F115" s="156" t="s">
        <v>82</v>
      </c>
      <c r="G115" s="156">
        <v>7.16</v>
      </c>
      <c r="H115" s="156">
        <v>7.21</v>
      </c>
      <c r="I115" s="156">
        <v>7.41</v>
      </c>
      <c r="J115" s="156">
        <v>8.66</v>
      </c>
      <c r="K115" s="156">
        <v>8.91</v>
      </c>
      <c r="L115" s="156">
        <v>7.26</v>
      </c>
      <c r="M115" s="156" t="s">
        <v>77</v>
      </c>
      <c r="N115" s="254" t="s">
        <v>77</v>
      </c>
      <c r="O115" s="254" t="s">
        <v>82</v>
      </c>
      <c r="P115" s="41"/>
      <c r="Q115" s="41"/>
      <c r="R115" s="42"/>
    </row>
    <row r="116" spans="1:22" s="14" customFormat="1" ht="10.5" customHeight="1" x14ac:dyDescent="0.2">
      <c r="A116" s="133"/>
      <c r="B116" s="161" t="s">
        <v>64</v>
      </c>
      <c r="C116" s="156" t="s">
        <v>77</v>
      </c>
      <c r="D116" s="156" t="s">
        <v>82</v>
      </c>
      <c r="E116" s="156" t="s">
        <v>82</v>
      </c>
      <c r="F116" s="156">
        <v>11.97</v>
      </c>
      <c r="G116" s="156">
        <v>10.87</v>
      </c>
      <c r="H116" s="156">
        <v>10.37</v>
      </c>
      <c r="I116" s="156">
        <v>10.119999999999999</v>
      </c>
      <c r="J116" s="156">
        <v>10.42</v>
      </c>
      <c r="K116" s="156">
        <v>9.17</v>
      </c>
      <c r="L116" s="156" t="s">
        <v>82</v>
      </c>
      <c r="M116" s="156" t="s">
        <v>77</v>
      </c>
      <c r="N116" s="254" t="s">
        <v>77</v>
      </c>
      <c r="O116" s="254" t="s">
        <v>82</v>
      </c>
      <c r="P116" s="41"/>
      <c r="Q116" s="41"/>
      <c r="R116" s="42"/>
    </row>
    <row r="117" spans="1:22" s="14" customFormat="1" ht="10.5" customHeight="1" x14ac:dyDescent="0.2">
      <c r="A117" s="133"/>
      <c r="B117" s="255" t="s">
        <v>81</v>
      </c>
      <c r="C117" s="254" t="s">
        <v>77</v>
      </c>
      <c r="D117" s="254" t="s">
        <v>82</v>
      </c>
      <c r="E117" s="254" t="s">
        <v>82</v>
      </c>
      <c r="F117" s="254">
        <v>8.68</v>
      </c>
      <c r="G117" s="254">
        <v>8.6300000000000008</v>
      </c>
      <c r="H117" s="254">
        <v>8.43</v>
      </c>
      <c r="I117" s="254">
        <v>9.48</v>
      </c>
      <c r="J117" s="254">
        <v>11.33</v>
      </c>
      <c r="K117" s="254">
        <v>11.93</v>
      </c>
      <c r="L117" s="254" t="s">
        <v>77</v>
      </c>
      <c r="M117" s="254" t="s">
        <v>77</v>
      </c>
      <c r="N117" s="254" t="s">
        <v>77</v>
      </c>
      <c r="O117" s="254" t="s">
        <v>82</v>
      </c>
      <c r="P117" s="41"/>
      <c r="Q117" s="41"/>
      <c r="R117" s="42"/>
    </row>
    <row r="118" spans="1:22" s="14" customFormat="1" ht="10.5" customHeight="1" x14ac:dyDescent="0.2">
      <c r="A118" s="133"/>
      <c r="B118" s="255" t="s">
        <v>88</v>
      </c>
      <c r="C118" s="254" t="s">
        <v>77</v>
      </c>
      <c r="D118" s="254" t="s">
        <v>82</v>
      </c>
      <c r="E118" s="254" t="s">
        <v>82</v>
      </c>
      <c r="F118" s="254" t="s">
        <v>82</v>
      </c>
      <c r="G118" s="254">
        <v>7.88</v>
      </c>
      <c r="H118" s="254">
        <v>7.68</v>
      </c>
      <c r="I118" s="254">
        <v>7.98</v>
      </c>
      <c r="J118" s="254">
        <v>8.7799999999999994</v>
      </c>
      <c r="K118" s="254">
        <v>8.23</v>
      </c>
      <c r="L118" s="254" t="s">
        <v>77</v>
      </c>
      <c r="M118" s="254" t="s">
        <v>77</v>
      </c>
      <c r="N118" s="254" t="s">
        <v>77</v>
      </c>
      <c r="O118" s="254" t="s">
        <v>82</v>
      </c>
      <c r="P118" s="41"/>
      <c r="Q118" s="41"/>
      <c r="R118" s="42"/>
    </row>
    <row r="119" spans="1:22" s="14" customFormat="1" ht="10.5" customHeight="1" x14ac:dyDescent="0.2">
      <c r="A119" s="133"/>
      <c r="B119" s="204" t="s">
        <v>90</v>
      </c>
      <c r="C119" s="254" t="s">
        <v>89</v>
      </c>
      <c r="D119" s="254" t="s">
        <v>82</v>
      </c>
      <c r="E119" s="254" t="s">
        <v>82</v>
      </c>
      <c r="F119" s="254">
        <f>19.87/2</f>
        <v>9.9350000000000005</v>
      </c>
      <c r="G119" s="254">
        <f>23.17/2</f>
        <v>11.585000000000001</v>
      </c>
      <c r="H119" s="254">
        <f>26.97/2</f>
        <v>13.484999999999999</v>
      </c>
      <c r="I119" s="254">
        <f>28.87/2</f>
        <v>14.435</v>
      </c>
      <c r="J119" s="254">
        <f>31.57/2</f>
        <v>15.785</v>
      </c>
      <c r="K119" s="254">
        <f>34.97/2</f>
        <v>17.484999999999999</v>
      </c>
      <c r="L119" s="254" t="s">
        <v>89</v>
      </c>
      <c r="M119" s="254" t="s">
        <v>89</v>
      </c>
      <c r="N119" s="254" t="s">
        <v>89</v>
      </c>
      <c r="O119" s="254" t="s">
        <v>82</v>
      </c>
      <c r="P119" s="41"/>
      <c r="Q119" s="41"/>
      <c r="R119" s="42"/>
      <c r="S119" s="42"/>
      <c r="T119" s="42"/>
      <c r="U119" s="42"/>
      <c r="V119" s="42"/>
    </row>
    <row r="120" spans="1:22" s="14" customFormat="1" ht="10.5" customHeight="1" x14ac:dyDescent="0.2">
      <c r="A120" s="133"/>
      <c r="B120" s="204" t="s">
        <v>94</v>
      </c>
      <c r="C120" s="254" t="s">
        <v>89</v>
      </c>
      <c r="D120" s="254" t="s">
        <v>89</v>
      </c>
      <c r="E120" s="254" t="s">
        <v>82</v>
      </c>
      <c r="F120" s="254">
        <f>25.88/2</f>
        <v>12.94</v>
      </c>
      <c r="G120" s="254">
        <f>29.68/2</f>
        <v>14.84</v>
      </c>
      <c r="H120" s="254">
        <f>29.48/2</f>
        <v>14.74</v>
      </c>
      <c r="I120" s="254">
        <f>29.68/2</f>
        <v>14.84</v>
      </c>
      <c r="J120" s="254">
        <f>31.98/2</f>
        <v>15.99</v>
      </c>
      <c r="K120" s="254">
        <f>30.08/2</f>
        <v>15.04</v>
      </c>
      <c r="L120" s="254" t="s">
        <v>89</v>
      </c>
      <c r="M120" s="254" t="s">
        <v>89</v>
      </c>
      <c r="N120" s="254" t="s">
        <v>89</v>
      </c>
      <c r="O120" s="254" t="s">
        <v>82</v>
      </c>
      <c r="P120" s="41"/>
      <c r="Q120" s="262"/>
      <c r="R120" s="42"/>
    </row>
    <row r="121" spans="1:22" s="42" customFormat="1" ht="10.5" customHeight="1" x14ac:dyDescent="0.2">
      <c r="A121" s="133"/>
      <c r="B121" s="204" t="s">
        <v>138</v>
      </c>
      <c r="C121" s="254" t="s">
        <v>89</v>
      </c>
      <c r="D121" s="254" t="s">
        <v>89</v>
      </c>
      <c r="E121" s="254" t="s">
        <v>82</v>
      </c>
      <c r="F121" s="254" t="s">
        <v>82</v>
      </c>
      <c r="G121" s="254">
        <f>12.98/2</f>
        <v>6.49</v>
      </c>
      <c r="H121" s="254">
        <f>13.58/2</f>
        <v>6.79</v>
      </c>
      <c r="I121" s="254">
        <f>13.38/2</f>
        <v>6.69</v>
      </c>
      <c r="J121" s="254">
        <f>15.68/2</f>
        <v>7.84</v>
      </c>
      <c r="K121" s="254">
        <f>15.78/2</f>
        <v>7.89</v>
      </c>
      <c r="L121" s="254" t="s">
        <v>89</v>
      </c>
      <c r="M121" s="254" t="s">
        <v>89</v>
      </c>
      <c r="N121" s="254" t="s">
        <v>89</v>
      </c>
      <c r="O121" s="254" t="s">
        <v>82</v>
      </c>
      <c r="P121" s="41"/>
      <c r="Q121" s="41"/>
    </row>
    <row r="122" spans="1:22" s="42" customFormat="1" ht="10.5" customHeight="1" x14ac:dyDescent="0.2">
      <c r="A122" s="133"/>
      <c r="B122" s="204" t="s">
        <v>142</v>
      </c>
      <c r="C122" s="254" t="s">
        <v>77</v>
      </c>
      <c r="D122" s="254" t="s">
        <v>77</v>
      </c>
      <c r="E122" s="254" t="s">
        <v>77</v>
      </c>
      <c r="F122" s="254" t="s">
        <v>77</v>
      </c>
      <c r="G122" s="254" t="s">
        <v>77</v>
      </c>
      <c r="H122" s="254" t="s">
        <v>77</v>
      </c>
      <c r="I122" s="254" t="s">
        <v>77</v>
      </c>
      <c r="J122" s="254" t="s">
        <v>77</v>
      </c>
      <c r="K122" s="254" t="s">
        <v>77</v>
      </c>
      <c r="L122" s="254" t="s">
        <v>77</v>
      </c>
      <c r="M122" s="254" t="s">
        <v>77</v>
      </c>
      <c r="N122" s="254" t="s">
        <v>77</v>
      </c>
      <c r="O122" s="254" t="s">
        <v>82</v>
      </c>
      <c r="P122" s="406"/>
    </row>
    <row r="123" spans="1:22" s="14" customFormat="1" ht="5.25" customHeight="1" x14ac:dyDescent="0.2">
      <c r="A123" s="133"/>
      <c r="B123" s="256"/>
      <c r="C123" s="257"/>
      <c r="D123" s="257"/>
      <c r="E123" s="257"/>
      <c r="F123" s="257"/>
      <c r="G123" s="257"/>
      <c r="H123" s="257"/>
      <c r="I123" s="257"/>
      <c r="J123" s="257"/>
      <c r="K123" s="257"/>
      <c r="L123" s="257"/>
      <c r="M123" s="257"/>
      <c r="N123" s="257"/>
      <c r="O123" s="254"/>
      <c r="P123" s="41"/>
    </row>
    <row r="124" spans="1:22" s="14" customFormat="1" ht="10.5" customHeight="1" x14ac:dyDescent="0.2">
      <c r="A124" s="133" t="s">
        <v>26</v>
      </c>
      <c r="B124" s="253" t="s">
        <v>56</v>
      </c>
      <c r="C124" s="254" t="s">
        <v>77</v>
      </c>
      <c r="D124" s="254" t="s">
        <v>82</v>
      </c>
      <c r="E124" s="254" t="s">
        <v>82</v>
      </c>
      <c r="F124" s="254" t="s">
        <v>82</v>
      </c>
      <c r="G124" s="254" t="s">
        <v>82</v>
      </c>
      <c r="H124" s="254" t="s">
        <v>82</v>
      </c>
      <c r="I124" s="254" t="s">
        <v>82</v>
      </c>
      <c r="J124" s="254" t="s">
        <v>82</v>
      </c>
      <c r="K124" s="254" t="s">
        <v>82</v>
      </c>
      <c r="L124" s="254" t="s">
        <v>82</v>
      </c>
      <c r="M124" s="254" t="s">
        <v>77</v>
      </c>
      <c r="N124" s="254" t="s">
        <v>77</v>
      </c>
      <c r="O124" s="156" t="s">
        <v>82</v>
      </c>
      <c r="P124" s="41"/>
    </row>
    <row r="125" spans="1:22" s="14" customFormat="1" ht="10.5" customHeight="1" x14ac:dyDescent="0.2">
      <c r="A125" s="133"/>
      <c r="B125" s="253" t="s">
        <v>57</v>
      </c>
      <c r="C125" s="254" t="s">
        <v>77</v>
      </c>
      <c r="D125" s="254" t="s">
        <v>82</v>
      </c>
      <c r="E125" s="254" t="s">
        <v>82</v>
      </c>
      <c r="F125" s="254" t="s">
        <v>82</v>
      </c>
      <c r="G125" s="254" t="s">
        <v>82</v>
      </c>
      <c r="H125" s="254" t="s">
        <v>82</v>
      </c>
      <c r="I125" s="254" t="s">
        <v>82</v>
      </c>
      <c r="J125" s="254" t="s">
        <v>82</v>
      </c>
      <c r="K125" s="254" t="s">
        <v>82</v>
      </c>
      <c r="L125" s="254" t="s">
        <v>82</v>
      </c>
      <c r="M125" s="254" t="s">
        <v>77</v>
      </c>
      <c r="N125" s="254" t="s">
        <v>77</v>
      </c>
      <c r="O125" s="156" t="s">
        <v>82</v>
      </c>
    </row>
    <row r="126" spans="1:22" s="14" customFormat="1" ht="10.5" customHeight="1" x14ac:dyDescent="0.2">
      <c r="A126" s="133"/>
      <c r="B126" s="253" t="s">
        <v>60</v>
      </c>
      <c r="C126" s="254" t="s">
        <v>77</v>
      </c>
      <c r="D126" s="254" t="s">
        <v>82</v>
      </c>
      <c r="E126" s="254" t="s">
        <v>82</v>
      </c>
      <c r="F126" s="254" t="s">
        <v>82</v>
      </c>
      <c r="G126" s="254" t="s">
        <v>82</v>
      </c>
      <c r="H126" s="254" t="s">
        <v>82</v>
      </c>
      <c r="I126" s="254" t="s">
        <v>82</v>
      </c>
      <c r="J126" s="254" t="s">
        <v>82</v>
      </c>
      <c r="K126" s="254" t="s">
        <v>82</v>
      </c>
      <c r="L126" s="254" t="s">
        <v>82</v>
      </c>
      <c r="M126" s="254" t="s">
        <v>77</v>
      </c>
      <c r="N126" s="254" t="s">
        <v>77</v>
      </c>
      <c r="O126" s="254" t="s">
        <v>82</v>
      </c>
    </row>
    <row r="127" spans="1:22" s="14" customFormat="1" ht="10.5" customHeight="1" x14ac:dyDescent="0.2">
      <c r="A127" s="133"/>
      <c r="B127" s="253" t="s">
        <v>64</v>
      </c>
      <c r="C127" s="254" t="s">
        <v>77</v>
      </c>
      <c r="D127" s="254" t="s">
        <v>82</v>
      </c>
      <c r="E127" s="254" t="s">
        <v>82</v>
      </c>
      <c r="F127" s="254" t="s">
        <v>82</v>
      </c>
      <c r="G127" s="254" t="s">
        <v>82</v>
      </c>
      <c r="H127" s="254" t="s">
        <v>82</v>
      </c>
      <c r="I127" s="254" t="s">
        <v>82</v>
      </c>
      <c r="J127" s="254" t="s">
        <v>82</v>
      </c>
      <c r="K127" s="254" t="s">
        <v>82</v>
      </c>
      <c r="L127" s="254" t="s">
        <v>82</v>
      </c>
      <c r="M127" s="254" t="s">
        <v>77</v>
      </c>
      <c r="N127" s="254" t="s">
        <v>77</v>
      </c>
      <c r="O127" s="254" t="s">
        <v>82</v>
      </c>
    </row>
    <row r="128" spans="1:22" s="14" customFormat="1" ht="10.5" customHeight="1" x14ac:dyDescent="0.2">
      <c r="A128" s="133"/>
      <c r="B128" s="255" t="s">
        <v>81</v>
      </c>
      <c r="C128" s="254" t="s">
        <v>77</v>
      </c>
      <c r="D128" s="254" t="s">
        <v>82</v>
      </c>
      <c r="E128" s="254" t="s">
        <v>82</v>
      </c>
      <c r="F128" s="254" t="s">
        <v>82</v>
      </c>
      <c r="G128" s="254" t="s">
        <v>82</v>
      </c>
      <c r="H128" s="254" t="s">
        <v>82</v>
      </c>
      <c r="I128" s="254" t="s">
        <v>82</v>
      </c>
      <c r="J128" s="254" t="s">
        <v>82</v>
      </c>
      <c r="K128" s="254" t="s">
        <v>82</v>
      </c>
      <c r="L128" s="254" t="s">
        <v>82</v>
      </c>
      <c r="M128" s="254" t="s">
        <v>77</v>
      </c>
      <c r="N128" s="254" t="s">
        <v>77</v>
      </c>
      <c r="O128" s="254" t="s">
        <v>82</v>
      </c>
      <c r="P128" s="41"/>
    </row>
    <row r="129" spans="1:22" s="14" customFormat="1" ht="10.5" customHeight="1" x14ac:dyDescent="0.2">
      <c r="A129" s="133"/>
      <c r="B129" s="255" t="s">
        <v>88</v>
      </c>
      <c r="C129" s="254" t="s">
        <v>77</v>
      </c>
      <c r="D129" s="254" t="s">
        <v>82</v>
      </c>
      <c r="E129" s="254" t="s">
        <v>82</v>
      </c>
      <c r="F129" s="254" t="s">
        <v>82</v>
      </c>
      <c r="G129" s="254" t="s">
        <v>82</v>
      </c>
      <c r="H129" s="254" t="s">
        <v>82</v>
      </c>
      <c r="I129" s="254" t="s">
        <v>82</v>
      </c>
      <c r="J129" s="254" t="s">
        <v>82</v>
      </c>
      <c r="K129" s="254" t="s">
        <v>82</v>
      </c>
      <c r="L129" s="254" t="s">
        <v>82</v>
      </c>
      <c r="M129" s="254" t="s">
        <v>77</v>
      </c>
      <c r="N129" s="254" t="s">
        <v>77</v>
      </c>
      <c r="O129" s="254" t="s">
        <v>82</v>
      </c>
      <c r="P129" s="41"/>
    </row>
    <row r="130" spans="1:22" s="14" customFormat="1" ht="10.5" customHeight="1" x14ac:dyDescent="0.2">
      <c r="A130" s="133"/>
      <c r="B130" s="204" t="s">
        <v>90</v>
      </c>
      <c r="C130" s="254" t="s">
        <v>77</v>
      </c>
      <c r="D130" s="254" t="s">
        <v>82</v>
      </c>
      <c r="E130" s="254" t="s">
        <v>82</v>
      </c>
      <c r="F130" s="254" t="s">
        <v>82</v>
      </c>
      <c r="G130" s="254" t="s">
        <v>82</v>
      </c>
      <c r="H130" s="254" t="s">
        <v>82</v>
      </c>
      <c r="I130" s="254" t="s">
        <v>82</v>
      </c>
      <c r="J130" s="254" t="s">
        <v>82</v>
      </c>
      <c r="K130" s="254" t="s">
        <v>82</v>
      </c>
      <c r="L130" s="254" t="s">
        <v>82</v>
      </c>
      <c r="M130" s="254" t="s">
        <v>77</v>
      </c>
      <c r="N130" s="254" t="s">
        <v>77</v>
      </c>
      <c r="O130" s="254" t="s">
        <v>82</v>
      </c>
      <c r="P130" s="41"/>
    </row>
    <row r="131" spans="1:22" s="14" customFormat="1" ht="10.5" customHeight="1" x14ac:dyDescent="0.2">
      <c r="A131" s="133"/>
      <c r="B131" s="204" t="s">
        <v>94</v>
      </c>
      <c r="C131" s="254" t="s">
        <v>77</v>
      </c>
      <c r="D131" s="254" t="s">
        <v>82</v>
      </c>
      <c r="E131" s="254" t="s">
        <v>82</v>
      </c>
      <c r="F131" s="254" t="s">
        <v>82</v>
      </c>
      <c r="G131" s="254" t="s">
        <v>82</v>
      </c>
      <c r="H131" s="254" t="s">
        <v>82</v>
      </c>
      <c r="I131" s="254" t="s">
        <v>82</v>
      </c>
      <c r="J131" s="254" t="s">
        <v>82</v>
      </c>
      <c r="K131" s="254" t="s">
        <v>82</v>
      </c>
      <c r="L131" s="254" t="s">
        <v>82</v>
      </c>
      <c r="M131" s="254" t="s">
        <v>77</v>
      </c>
      <c r="N131" s="254" t="s">
        <v>77</v>
      </c>
      <c r="O131" s="254" t="s">
        <v>82</v>
      </c>
      <c r="P131" s="41"/>
    </row>
    <row r="132" spans="1:22" s="42" customFormat="1" ht="10.5" customHeight="1" x14ac:dyDescent="0.2">
      <c r="A132" s="133"/>
      <c r="B132" s="204" t="s">
        <v>138</v>
      </c>
      <c r="C132" s="254" t="s">
        <v>77</v>
      </c>
      <c r="D132" s="254" t="s">
        <v>82</v>
      </c>
      <c r="E132" s="254" t="s">
        <v>82</v>
      </c>
      <c r="F132" s="254" t="s">
        <v>82</v>
      </c>
      <c r="G132" s="254" t="s">
        <v>82</v>
      </c>
      <c r="H132" s="254" t="s">
        <v>82</v>
      </c>
      <c r="I132" s="254" t="s">
        <v>82</v>
      </c>
      <c r="J132" s="254" t="s">
        <v>82</v>
      </c>
      <c r="K132" s="254" t="s">
        <v>82</v>
      </c>
      <c r="L132" s="254" t="s">
        <v>82</v>
      </c>
      <c r="M132" s="254" t="s">
        <v>77</v>
      </c>
      <c r="N132" s="254" t="s">
        <v>77</v>
      </c>
      <c r="O132" s="254" t="s">
        <v>82</v>
      </c>
      <c r="P132" s="41"/>
    </row>
    <row r="133" spans="1:22" s="42" customFormat="1" ht="10.5" customHeight="1" x14ac:dyDescent="0.2">
      <c r="A133" s="133"/>
      <c r="B133" s="204" t="s">
        <v>142</v>
      </c>
      <c r="C133" s="254" t="s">
        <v>77</v>
      </c>
      <c r="D133" s="254" t="s">
        <v>77</v>
      </c>
      <c r="E133" s="254" t="s">
        <v>77</v>
      </c>
      <c r="F133" s="254" t="s">
        <v>77</v>
      </c>
      <c r="G133" s="254" t="s">
        <v>77</v>
      </c>
      <c r="H133" s="254" t="s">
        <v>77</v>
      </c>
      <c r="I133" s="254" t="s">
        <v>77</v>
      </c>
      <c r="J133" s="254" t="s">
        <v>77</v>
      </c>
      <c r="K133" s="254" t="s">
        <v>77</v>
      </c>
      <c r="L133" s="254" t="s">
        <v>77</v>
      </c>
      <c r="M133" s="254" t="s">
        <v>77</v>
      </c>
      <c r="N133" s="254" t="s">
        <v>77</v>
      </c>
      <c r="O133" s="254" t="s">
        <v>82</v>
      </c>
      <c r="P133" s="41"/>
    </row>
    <row r="134" spans="1:22" s="14" customFormat="1" ht="6" customHeight="1" x14ac:dyDescent="0.2">
      <c r="A134" s="133"/>
      <c r="B134" s="256"/>
      <c r="C134" s="257"/>
      <c r="D134" s="257"/>
      <c r="E134" s="257"/>
      <c r="F134" s="257"/>
      <c r="G134" s="257"/>
      <c r="H134" s="257"/>
      <c r="I134" s="257"/>
      <c r="J134" s="257"/>
      <c r="K134" s="257"/>
      <c r="L134" s="257"/>
      <c r="M134" s="257"/>
      <c r="N134" s="257"/>
      <c r="O134" s="254"/>
      <c r="P134" s="41"/>
    </row>
    <row r="135" spans="1:22" s="14" customFormat="1" ht="10.5" customHeight="1" x14ac:dyDescent="0.2">
      <c r="A135" s="133" t="s">
        <v>25</v>
      </c>
      <c r="B135" s="253" t="s">
        <v>56</v>
      </c>
      <c r="C135" s="85" t="s">
        <v>77</v>
      </c>
      <c r="D135" s="85" t="s">
        <v>82</v>
      </c>
      <c r="E135" s="85" t="s">
        <v>82</v>
      </c>
      <c r="F135" s="85">
        <v>4.9400000000000004</v>
      </c>
      <c r="G135" s="85">
        <v>4.97</v>
      </c>
      <c r="H135" s="85">
        <v>5.03</v>
      </c>
      <c r="I135" s="85">
        <v>5.28</v>
      </c>
      <c r="J135" s="85">
        <v>5.03</v>
      </c>
      <c r="K135" s="85">
        <v>5.46</v>
      </c>
      <c r="L135" s="85" t="s">
        <v>82</v>
      </c>
      <c r="M135" s="85" t="s">
        <v>77</v>
      </c>
      <c r="N135" s="85" t="s">
        <v>77</v>
      </c>
      <c r="O135" s="85">
        <v>5.26</v>
      </c>
      <c r="P135" s="78"/>
    </row>
    <row r="136" spans="1:22" s="14" customFormat="1" ht="10.5" customHeight="1" x14ac:dyDescent="0.2">
      <c r="A136" s="133"/>
      <c r="B136" s="253" t="s">
        <v>57</v>
      </c>
      <c r="C136" s="85" t="s">
        <v>77</v>
      </c>
      <c r="D136" s="85" t="s">
        <v>82</v>
      </c>
      <c r="E136" s="85" t="s">
        <v>82</v>
      </c>
      <c r="F136" s="85">
        <v>7.35</v>
      </c>
      <c r="G136" s="85">
        <v>6.73</v>
      </c>
      <c r="H136" s="85">
        <v>5.93</v>
      </c>
      <c r="I136" s="85">
        <v>5.4</v>
      </c>
      <c r="J136" s="85">
        <v>5.8</v>
      </c>
      <c r="K136" s="85">
        <v>6.04</v>
      </c>
      <c r="L136" s="85" t="s">
        <v>77</v>
      </c>
      <c r="M136" s="85" t="s">
        <v>77</v>
      </c>
      <c r="N136" s="85" t="s">
        <v>77</v>
      </c>
      <c r="O136" s="85">
        <v>6.3</v>
      </c>
      <c r="P136" s="78"/>
    </row>
    <row r="137" spans="1:22" s="14" customFormat="1" ht="10.5" customHeight="1" x14ac:dyDescent="0.2">
      <c r="A137" s="133"/>
      <c r="B137" s="253" t="s">
        <v>60</v>
      </c>
      <c r="C137" s="85" t="s">
        <v>77</v>
      </c>
      <c r="D137" s="85" t="s">
        <v>82</v>
      </c>
      <c r="E137" s="85" t="s">
        <v>82</v>
      </c>
      <c r="F137" s="85" t="s">
        <v>82</v>
      </c>
      <c r="G137" s="85">
        <v>6.47</v>
      </c>
      <c r="H137" s="85">
        <v>6.55</v>
      </c>
      <c r="I137" s="85">
        <v>6.49</v>
      </c>
      <c r="J137" s="85">
        <v>7.39</v>
      </c>
      <c r="K137" s="85">
        <v>7.74</v>
      </c>
      <c r="L137" s="85">
        <v>6.36</v>
      </c>
      <c r="M137" s="85" t="s">
        <v>77</v>
      </c>
      <c r="N137" s="85" t="s">
        <v>77</v>
      </c>
      <c r="O137" s="85">
        <v>6.67</v>
      </c>
      <c r="P137" s="78"/>
    </row>
    <row r="138" spans="1:22" s="14" customFormat="1" ht="10.5" customHeight="1" x14ac:dyDescent="0.2">
      <c r="A138" s="133"/>
      <c r="B138" s="253" t="s">
        <v>64</v>
      </c>
      <c r="C138" s="85" t="s">
        <v>77</v>
      </c>
      <c r="D138" s="85" t="s">
        <v>82</v>
      </c>
      <c r="E138" s="85" t="s">
        <v>82</v>
      </c>
      <c r="F138" s="85">
        <v>10.210000000000001</v>
      </c>
      <c r="G138" s="85">
        <v>9.6</v>
      </c>
      <c r="H138" s="85">
        <v>8.8000000000000007</v>
      </c>
      <c r="I138" s="85">
        <v>8.69</v>
      </c>
      <c r="J138" s="85">
        <v>9.2200000000000006</v>
      </c>
      <c r="K138" s="85">
        <v>8.4499999999999993</v>
      </c>
      <c r="L138" s="85" t="s">
        <v>82</v>
      </c>
      <c r="M138" s="85" t="s">
        <v>77</v>
      </c>
      <c r="N138" s="85" t="s">
        <v>77</v>
      </c>
      <c r="O138" s="85">
        <v>9.34</v>
      </c>
      <c r="P138" s="78"/>
    </row>
    <row r="139" spans="1:22" s="14" customFormat="1" ht="10.5" customHeight="1" x14ac:dyDescent="0.2">
      <c r="A139" s="133"/>
      <c r="B139" s="255" t="s">
        <v>81</v>
      </c>
      <c r="C139" s="85" t="s">
        <v>77</v>
      </c>
      <c r="D139" s="85" t="s">
        <v>82</v>
      </c>
      <c r="E139" s="85" t="s">
        <v>82</v>
      </c>
      <c r="F139" s="85">
        <v>7.44</v>
      </c>
      <c r="G139" s="85">
        <v>6.72</v>
      </c>
      <c r="H139" s="85">
        <v>6.7</v>
      </c>
      <c r="I139" s="85">
        <v>7.42</v>
      </c>
      <c r="J139" s="85">
        <v>8.92</v>
      </c>
      <c r="K139" s="85">
        <v>9.67</v>
      </c>
      <c r="L139" s="85" t="s">
        <v>82</v>
      </c>
      <c r="M139" s="85" t="s">
        <v>77</v>
      </c>
      <c r="N139" s="85" t="s">
        <v>77</v>
      </c>
      <c r="O139" s="85">
        <v>7.5</v>
      </c>
      <c r="P139" s="78"/>
      <c r="Q139" s="41"/>
    </row>
    <row r="140" spans="1:22" s="14" customFormat="1" ht="10.5" customHeight="1" x14ac:dyDescent="0.2">
      <c r="A140" s="133"/>
      <c r="B140" s="204" t="s">
        <v>88</v>
      </c>
      <c r="C140" s="85" t="s">
        <v>77</v>
      </c>
      <c r="D140" s="85" t="s">
        <v>82</v>
      </c>
      <c r="E140" s="85" t="s">
        <v>82</v>
      </c>
      <c r="F140" s="85" t="s">
        <v>82</v>
      </c>
      <c r="G140" s="85">
        <v>6.11</v>
      </c>
      <c r="H140" s="85">
        <v>5.53</v>
      </c>
      <c r="I140" s="85">
        <v>5.63</v>
      </c>
      <c r="J140" s="85">
        <v>5.68</v>
      </c>
      <c r="K140" s="85">
        <v>5.66</v>
      </c>
      <c r="L140" s="85" t="s">
        <v>77</v>
      </c>
      <c r="M140" s="85" t="s">
        <v>77</v>
      </c>
      <c r="N140" s="85" t="s">
        <v>77</v>
      </c>
      <c r="O140" s="85">
        <v>5.97</v>
      </c>
      <c r="P140" s="78"/>
      <c r="Q140" s="41"/>
    </row>
    <row r="141" spans="1:22" s="14" customFormat="1" ht="10.5" customHeight="1" x14ac:dyDescent="0.2">
      <c r="A141" s="133"/>
      <c r="B141" s="307" t="s">
        <v>90</v>
      </c>
      <c r="C141" s="85" t="s">
        <v>77</v>
      </c>
      <c r="D141" s="85" t="s">
        <v>82</v>
      </c>
      <c r="E141" s="85" t="s">
        <v>82</v>
      </c>
      <c r="F141" s="85">
        <f>17.66/2</f>
        <v>8.83</v>
      </c>
      <c r="G141" s="85">
        <f>19.78/2</f>
        <v>9.89</v>
      </c>
      <c r="H141" s="85">
        <f>22.29/2</f>
        <v>11.145</v>
      </c>
      <c r="I141" s="85">
        <f>21.45/2</f>
        <v>10.725</v>
      </c>
      <c r="J141" s="85">
        <f>23.63/2</f>
        <v>11.815</v>
      </c>
      <c r="K141" s="85">
        <f>34.97/2</f>
        <v>17.484999999999999</v>
      </c>
      <c r="L141" s="85" t="s">
        <v>77</v>
      </c>
      <c r="M141" s="85" t="s">
        <v>77</v>
      </c>
      <c r="N141" s="85" t="s">
        <v>77</v>
      </c>
      <c r="O141" s="85">
        <v>10.130000000000001</v>
      </c>
      <c r="P141" s="78"/>
      <c r="Q141" s="41"/>
    </row>
    <row r="142" spans="1:22" s="14" customFormat="1" ht="10.5" customHeight="1" x14ac:dyDescent="0.2">
      <c r="A142" s="133"/>
      <c r="B142" s="307" t="s">
        <v>94</v>
      </c>
      <c r="C142" s="85" t="s">
        <v>77</v>
      </c>
      <c r="D142" s="85" t="s">
        <v>77</v>
      </c>
      <c r="E142" s="85" t="s">
        <v>82</v>
      </c>
      <c r="F142" s="85">
        <f>21.42/2</f>
        <v>10.71</v>
      </c>
      <c r="G142" s="85">
        <f>22.65/2</f>
        <v>11.324999999999999</v>
      </c>
      <c r="H142" s="85">
        <f>23.38/2</f>
        <v>11.69</v>
      </c>
      <c r="I142" s="85">
        <f>20.89/2</f>
        <v>10.445</v>
      </c>
      <c r="J142" s="85">
        <f>23.01/2</f>
        <v>11.505000000000001</v>
      </c>
      <c r="K142" s="85">
        <f>21.74/2</f>
        <v>10.87</v>
      </c>
      <c r="L142" s="85" t="s">
        <v>77</v>
      </c>
      <c r="M142" s="85" t="s">
        <v>77</v>
      </c>
      <c r="N142" s="85" t="s">
        <v>77</v>
      </c>
      <c r="O142" s="85">
        <v>11</v>
      </c>
      <c r="P142" s="78"/>
      <c r="Q142" s="41"/>
      <c r="R142" s="41"/>
      <c r="S142" s="41"/>
      <c r="T142" s="41"/>
      <c r="U142" s="41"/>
      <c r="V142" s="41"/>
    </row>
    <row r="143" spans="1:22" s="42" customFormat="1" ht="10.5" customHeight="1" x14ac:dyDescent="0.2">
      <c r="A143" s="133"/>
      <c r="B143" s="307" t="s">
        <v>138</v>
      </c>
      <c r="C143" s="85" t="s">
        <v>77</v>
      </c>
      <c r="D143" s="85" t="s">
        <v>77</v>
      </c>
      <c r="E143" s="85" t="s">
        <v>82</v>
      </c>
      <c r="F143" s="85" t="s">
        <v>82</v>
      </c>
      <c r="G143" s="85">
        <f>9.67/2</f>
        <v>4.835</v>
      </c>
      <c r="H143" s="85">
        <f>9.83/2</f>
        <v>4.915</v>
      </c>
      <c r="I143" s="85">
        <f>9.2/2</f>
        <v>4.5999999999999996</v>
      </c>
      <c r="J143" s="85">
        <f>9.81/2</f>
        <v>4.9050000000000002</v>
      </c>
      <c r="K143" s="85">
        <f>11.22/2</f>
        <v>5.61</v>
      </c>
      <c r="L143" s="85" t="s">
        <v>77</v>
      </c>
      <c r="M143" s="85" t="s">
        <v>77</v>
      </c>
      <c r="N143" s="85" t="s">
        <v>77</v>
      </c>
      <c r="O143" s="85">
        <f>10.14/2</f>
        <v>5.07</v>
      </c>
      <c r="P143" s="78"/>
      <c r="Q143" s="41"/>
    </row>
    <row r="144" spans="1:22" s="42" customFormat="1" ht="10.5" customHeight="1" x14ac:dyDescent="0.2">
      <c r="A144" s="133"/>
      <c r="B144" s="307" t="s">
        <v>142</v>
      </c>
      <c r="C144" s="85" t="s">
        <v>77</v>
      </c>
      <c r="D144" s="85" t="s">
        <v>77</v>
      </c>
      <c r="E144" s="85" t="s">
        <v>77</v>
      </c>
      <c r="F144" s="85" t="s">
        <v>77</v>
      </c>
      <c r="G144" s="85" t="s">
        <v>77</v>
      </c>
      <c r="H144" s="85" t="s">
        <v>77</v>
      </c>
      <c r="I144" s="85" t="s">
        <v>77</v>
      </c>
      <c r="J144" s="85" t="s">
        <v>77</v>
      </c>
      <c r="K144" s="85" t="s">
        <v>77</v>
      </c>
      <c r="L144" s="85" t="s">
        <v>77</v>
      </c>
      <c r="M144" s="85" t="s">
        <v>77</v>
      </c>
      <c r="N144" s="85" t="s">
        <v>77</v>
      </c>
      <c r="O144" s="85">
        <f>17.29/2</f>
        <v>8.6449999999999996</v>
      </c>
      <c r="P144" s="483"/>
      <c r="Q144" s="41"/>
    </row>
    <row r="145" spans="1:19" s="14" customFormat="1" ht="7.15" customHeight="1" x14ac:dyDescent="0.2">
      <c r="A145" s="135"/>
      <c r="B145" s="319"/>
      <c r="C145" s="313"/>
      <c r="D145" s="313"/>
      <c r="E145" s="313"/>
      <c r="F145" s="313"/>
      <c r="G145" s="313"/>
      <c r="H145" s="313"/>
      <c r="I145" s="313"/>
      <c r="J145" s="313"/>
      <c r="K145" s="313"/>
      <c r="L145" s="320"/>
      <c r="M145" s="320"/>
      <c r="N145" s="320"/>
      <c r="O145" s="320"/>
      <c r="P145" s="41"/>
      <c r="Q145" s="41"/>
    </row>
    <row r="146" spans="1:19" s="14" customFormat="1" ht="22.5" customHeight="1" x14ac:dyDescent="0.2">
      <c r="A146" s="571" t="s">
        <v>156</v>
      </c>
      <c r="B146" s="571" t="s">
        <v>1</v>
      </c>
      <c r="C146" s="383" t="s">
        <v>13</v>
      </c>
      <c r="D146" s="383" t="s">
        <v>14</v>
      </c>
      <c r="E146" s="383" t="s">
        <v>15</v>
      </c>
      <c r="F146" s="383" t="s">
        <v>4</v>
      </c>
      <c r="G146" s="383" t="s">
        <v>5</v>
      </c>
      <c r="H146" s="383" t="s">
        <v>6</v>
      </c>
      <c r="I146" s="383" t="s">
        <v>7</v>
      </c>
      <c r="J146" s="383" t="s">
        <v>8</v>
      </c>
      <c r="K146" s="383" t="s">
        <v>9</v>
      </c>
      <c r="L146" s="383" t="s">
        <v>10</v>
      </c>
      <c r="M146" s="383" t="s">
        <v>11</v>
      </c>
      <c r="N146" s="384" t="s">
        <v>12</v>
      </c>
      <c r="O146" s="385" t="s">
        <v>16</v>
      </c>
      <c r="P146" s="41"/>
      <c r="Q146" s="41"/>
      <c r="R146" s="42"/>
      <c r="S146" s="42"/>
    </row>
    <row r="147" spans="1:19" ht="9.75" customHeight="1" x14ac:dyDescent="0.2">
      <c r="A147" s="572"/>
      <c r="B147" s="572"/>
      <c r="C147" s="568" t="s">
        <v>112</v>
      </c>
      <c r="D147" s="569"/>
      <c r="E147" s="569"/>
      <c r="F147" s="569"/>
      <c r="G147" s="569"/>
      <c r="H147" s="569"/>
      <c r="I147" s="569"/>
      <c r="J147" s="569"/>
      <c r="K147" s="569"/>
      <c r="L147" s="569"/>
      <c r="M147" s="569"/>
      <c r="N147" s="569"/>
      <c r="O147" s="570"/>
    </row>
    <row r="148" spans="1:19" s="14" customFormat="1" ht="3.75" customHeight="1" x14ac:dyDescent="0.2">
      <c r="A148" s="163"/>
      <c r="B148" s="96"/>
      <c r="C148" s="158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</row>
    <row r="149" spans="1:19" s="14" customFormat="1" ht="10.5" customHeight="1" x14ac:dyDescent="0.2">
      <c r="A149" s="133" t="s">
        <v>52</v>
      </c>
      <c r="B149" s="161" t="s">
        <v>56</v>
      </c>
      <c r="C149" s="156" t="s">
        <v>77</v>
      </c>
      <c r="D149" s="156" t="s">
        <v>77</v>
      </c>
      <c r="E149" s="156" t="s">
        <v>77</v>
      </c>
      <c r="F149" s="156" t="s">
        <v>77</v>
      </c>
      <c r="G149" s="156" t="s">
        <v>77</v>
      </c>
      <c r="H149" s="156" t="s">
        <v>77</v>
      </c>
      <c r="I149" s="156" t="s">
        <v>77</v>
      </c>
      <c r="J149" s="156" t="s">
        <v>77</v>
      </c>
      <c r="K149" s="156" t="s">
        <v>77</v>
      </c>
      <c r="L149" s="156" t="s">
        <v>77</v>
      </c>
      <c r="M149" s="156" t="s">
        <v>77</v>
      </c>
      <c r="N149" s="156" t="s">
        <v>77</v>
      </c>
      <c r="O149" s="156" t="s">
        <v>77</v>
      </c>
    </row>
    <row r="150" spans="1:19" s="14" customFormat="1" ht="10.5" customHeight="1" x14ac:dyDescent="0.2">
      <c r="A150" s="133"/>
      <c r="B150" s="161" t="s">
        <v>57</v>
      </c>
      <c r="C150" s="156" t="s">
        <v>77</v>
      </c>
      <c r="D150" s="156" t="s">
        <v>77</v>
      </c>
      <c r="E150" s="156" t="s">
        <v>82</v>
      </c>
      <c r="F150" s="156" t="s">
        <v>77</v>
      </c>
      <c r="G150" s="156" t="s">
        <v>77</v>
      </c>
      <c r="H150" s="156" t="s">
        <v>82</v>
      </c>
      <c r="I150" s="156" t="s">
        <v>82</v>
      </c>
      <c r="J150" s="156" t="s">
        <v>82</v>
      </c>
      <c r="K150" s="156" t="s">
        <v>82</v>
      </c>
      <c r="L150" s="156" t="s">
        <v>77</v>
      </c>
      <c r="M150" s="156" t="s">
        <v>77</v>
      </c>
      <c r="N150" s="156" t="s">
        <v>77</v>
      </c>
      <c r="O150" s="156" t="s">
        <v>82</v>
      </c>
    </row>
    <row r="151" spans="1:19" s="14" customFormat="1" ht="10.5" customHeight="1" x14ac:dyDescent="0.2">
      <c r="A151" s="133"/>
      <c r="B151" s="161" t="s">
        <v>60</v>
      </c>
      <c r="C151" s="156" t="s">
        <v>77</v>
      </c>
      <c r="D151" s="156" t="s">
        <v>82</v>
      </c>
      <c r="E151" s="156" t="s">
        <v>82</v>
      </c>
      <c r="F151" s="156" t="s">
        <v>82</v>
      </c>
      <c r="G151" s="156" t="s">
        <v>82</v>
      </c>
      <c r="H151" s="156" t="s">
        <v>82</v>
      </c>
      <c r="I151" s="156" t="s">
        <v>82</v>
      </c>
      <c r="J151" s="156" t="s">
        <v>82</v>
      </c>
      <c r="K151" s="156" t="s">
        <v>82</v>
      </c>
      <c r="L151" s="156" t="s">
        <v>77</v>
      </c>
      <c r="M151" s="156" t="s">
        <v>77</v>
      </c>
      <c r="N151" s="156" t="s">
        <v>77</v>
      </c>
      <c r="O151" s="156" t="s">
        <v>82</v>
      </c>
    </row>
    <row r="152" spans="1:19" s="14" customFormat="1" ht="10.5" customHeight="1" x14ac:dyDescent="0.2">
      <c r="A152" s="133"/>
      <c r="B152" s="253" t="s">
        <v>64</v>
      </c>
      <c r="C152" s="254" t="s">
        <v>77</v>
      </c>
      <c r="D152" s="254" t="s">
        <v>82</v>
      </c>
      <c r="E152" s="254" t="s">
        <v>82</v>
      </c>
      <c r="F152" s="254" t="s">
        <v>82</v>
      </c>
      <c r="G152" s="254" t="s">
        <v>82</v>
      </c>
      <c r="H152" s="254" t="s">
        <v>82</v>
      </c>
      <c r="I152" s="254" t="s">
        <v>82</v>
      </c>
      <c r="J152" s="254" t="s">
        <v>82</v>
      </c>
      <c r="K152" s="254" t="s">
        <v>82</v>
      </c>
      <c r="L152" s="254" t="s">
        <v>77</v>
      </c>
      <c r="M152" s="254" t="s">
        <v>77</v>
      </c>
      <c r="N152" s="254" t="s">
        <v>77</v>
      </c>
      <c r="O152" s="254" t="s">
        <v>82</v>
      </c>
    </row>
    <row r="153" spans="1:19" s="14" customFormat="1" ht="10.5" customHeight="1" x14ac:dyDescent="0.2">
      <c r="A153" s="133"/>
      <c r="B153" s="255" t="s">
        <v>81</v>
      </c>
      <c r="C153" s="254" t="s">
        <v>77</v>
      </c>
      <c r="D153" s="254" t="s">
        <v>82</v>
      </c>
      <c r="E153" s="254">
        <v>16.57</v>
      </c>
      <c r="F153" s="254" t="s">
        <v>82</v>
      </c>
      <c r="G153" s="254" t="s">
        <v>82</v>
      </c>
      <c r="H153" s="254" t="s">
        <v>82</v>
      </c>
      <c r="I153" s="254" t="s">
        <v>82</v>
      </c>
      <c r="J153" s="254" t="s">
        <v>82</v>
      </c>
      <c r="K153" s="254" t="s">
        <v>82</v>
      </c>
      <c r="L153" s="254" t="s">
        <v>77</v>
      </c>
      <c r="M153" s="254" t="s">
        <v>77</v>
      </c>
      <c r="N153" s="254" t="s">
        <v>77</v>
      </c>
      <c r="O153" s="254" t="s">
        <v>82</v>
      </c>
    </row>
    <row r="154" spans="1:19" s="14" customFormat="1" ht="10.5" customHeight="1" x14ac:dyDescent="0.2">
      <c r="A154" s="133"/>
      <c r="B154" s="255" t="s">
        <v>88</v>
      </c>
      <c r="C154" s="254" t="s">
        <v>77</v>
      </c>
      <c r="D154" s="254" t="s">
        <v>82</v>
      </c>
      <c r="E154" s="254" t="s">
        <v>82</v>
      </c>
      <c r="F154" s="254" t="s">
        <v>82</v>
      </c>
      <c r="G154" s="254" t="s">
        <v>82</v>
      </c>
      <c r="H154" s="254" t="s">
        <v>82</v>
      </c>
      <c r="I154" s="254" t="s">
        <v>82</v>
      </c>
      <c r="J154" s="254" t="s">
        <v>82</v>
      </c>
      <c r="K154" s="254" t="s">
        <v>82</v>
      </c>
      <c r="L154" s="254" t="s">
        <v>77</v>
      </c>
      <c r="M154" s="254" t="s">
        <v>77</v>
      </c>
      <c r="N154" s="254" t="s">
        <v>77</v>
      </c>
      <c r="O154" s="254" t="s">
        <v>82</v>
      </c>
      <c r="P154" s="41"/>
    </row>
    <row r="155" spans="1:19" s="14" customFormat="1" ht="10.5" customHeight="1" x14ac:dyDescent="0.2">
      <c r="A155" s="133"/>
      <c r="B155" s="204" t="s">
        <v>90</v>
      </c>
      <c r="C155" s="254" t="s">
        <v>77</v>
      </c>
      <c r="D155" s="254" t="s">
        <v>82</v>
      </c>
      <c r="E155" s="254" t="s">
        <v>82</v>
      </c>
      <c r="F155" s="254" t="s">
        <v>82</v>
      </c>
      <c r="G155" s="254" t="s">
        <v>82</v>
      </c>
      <c r="H155" s="254" t="s">
        <v>82</v>
      </c>
      <c r="I155" s="254" t="s">
        <v>82</v>
      </c>
      <c r="J155" s="254" t="s">
        <v>82</v>
      </c>
      <c r="K155" s="254" t="s">
        <v>82</v>
      </c>
      <c r="L155" s="254" t="s">
        <v>77</v>
      </c>
      <c r="M155" s="254" t="s">
        <v>77</v>
      </c>
      <c r="N155" s="254" t="s">
        <v>77</v>
      </c>
      <c r="O155" s="254" t="s">
        <v>82</v>
      </c>
      <c r="P155" s="41"/>
    </row>
    <row r="156" spans="1:19" s="14" customFormat="1" ht="10.5" customHeight="1" x14ac:dyDescent="0.2">
      <c r="A156" s="133"/>
      <c r="B156" s="204" t="s">
        <v>94</v>
      </c>
      <c r="C156" s="254" t="s">
        <v>77</v>
      </c>
      <c r="D156" s="254" t="s">
        <v>82</v>
      </c>
      <c r="E156" s="254" t="s">
        <v>82</v>
      </c>
      <c r="F156" s="254" t="s">
        <v>82</v>
      </c>
      <c r="G156" s="254" t="s">
        <v>82</v>
      </c>
      <c r="H156" s="254" t="s">
        <v>82</v>
      </c>
      <c r="I156" s="254" t="s">
        <v>82</v>
      </c>
      <c r="J156" s="254" t="s">
        <v>82</v>
      </c>
      <c r="K156" s="254" t="s">
        <v>82</v>
      </c>
      <c r="L156" s="254" t="s">
        <v>77</v>
      </c>
      <c r="M156" s="254" t="s">
        <v>77</v>
      </c>
      <c r="N156" s="254" t="s">
        <v>77</v>
      </c>
      <c r="O156" s="254" t="s">
        <v>82</v>
      </c>
      <c r="P156" s="41"/>
    </row>
    <row r="157" spans="1:19" s="42" customFormat="1" ht="10.5" customHeight="1" x14ac:dyDescent="0.2">
      <c r="A157" s="133"/>
      <c r="B157" s="204" t="s">
        <v>138</v>
      </c>
      <c r="C157" s="254" t="s">
        <v>77</v>
      </c>
      <c r="D157" s="254" t="s">
        <v>82</v>
      </c>
      <c r="E157" s="254" t="s">
        <v>82</v>
      </c>
      <c r="F157" s="254" t="s">
        <v>82</v>
      </c>
      <c r="G157" s="254" t="s">
        <v>82</v>
      </c>
      <c r="H157" s="254" t="s">
        <v>82</v>
      </c>
      <c r="I157" s="254" t="s">
        <v>82</v>
      </c>
      <c r="J157" s="254" t="s">
        <v>82</v>
      </c>
      <c r="K157" s="254" t="s">
        <v>82</v>
      </c>
      <c r="L157" s="254" t="s">
        <v>77</v>
      </c>
      <c r="M157" s="254" t="s">
        <v>77</v>
      </c>
      <c r="N157" s="254" t="s">
        <v>77</v>
      </c>
      <c r="O157" s="254" t="s">
        <v>82</v>
      </c>
      <c r="P157" s="41"/>
    </row>
    <row r="158" spans="1:19" s="42" customFormat="1" ht="10.5" customHeight="1" x14ac:dyDescent="0.2">
      <c r="A158" s="133"/>
      <c r="B158" s="204" t="s">
        <v>142</v>
      </c>
      <c r="C158" s="254" t="s">
        <v>77</v>
      </c>
      <c r="D158" s="254" t="s">
        <v>82</v>
      </c>
      <c r="E158" s="254" t="s">
        <v>82</v>
      </c>
      <c r="F158" s="254" t="s">
        <v>77</v>
      </c>
      <c r="G158" s="254" t="s">
        <v>77</v>
      </c>
      <c r="H158" s="254" t="s">
        <v>77</v>
      </c>
      <c r="I158" s="254" t="s">
        <v>77</v>
      </c>
      <c r="J158" s="254" t="s">
        <v>77</v>
      </c>
      <c r="K158" s="254" t="s">
        <v>77</v>
      </c>
      <c r="L158" s="254" t="s">
        <v>77</v>
      </c>
      <c r="M158" s="254" t="s">
        <v>77</v>
      </c>
      <c r="N158" s="254" t="s">
        <v>77</v>
      </c>
      <c r="O158" s="254" t="s">
        <v>82</v>
      </c>
      <c r="P158" s="41"/>
    </row>
    <row r="159" spans="1:19" s="14" customFormat="1" ht="6.6" customHeight="1" x14ac:dyDescent="0.2">
      <c r="A159" s="133"/>
      <c r="B159" s="256"/>
      <c r="C159" s="257"/>
      <c r="D159" s="257"/>
      <c r="E159" s="257"/>
      <c r="F159" s="257"/>
      <c r="G159" s="257"/>
      <c r="H159" s="257"/>
      <c r="I159" s="257"/>
      <c r="J159" s="257"/>
      <c r="K159" s="257"/>
      <c r="L159" s="257"/>
      <c r="M159" s="257"/>
      <c r="N159" s="257"/>
      <c r="O159" s="254"/>
      <c r="P159" s="41"/>
    </row>
    <row r="160" spans="1:19" s="14" customFormat="1" ht="10.5" customHeight="1" x14ac:dyDescent="0.2">
      <c r="A160" s="133" t="s">
        <v>26</v>
      </c>
      <c r="B160" s="253" t="s">
        <v>56</v>
      </c>
      <c r="C160" s="254" t="s">
        <v>77</v>
      </c>
      <c r="D160" s="254" t="s">
        <v>77</v>
      </c>
      <c r="E160" s="254" t="s">
        <v>77</v>
      </c>
      <c r="F160" s="254" t="s">
        <v>77</v>
      </c>
      <c r="G160" s="254" t="s">
        <v>77</v>
      </c>
      <c r="H160" s="254" t="s">
        <v>77</v>
      </c>
      <c r="I160" s="254" t="s">
        <v>77</v>
      </c>
      <c r="J160" s="254" t="s">
        <v>77</v>
      </c>
      <c r="K160" s="254" t="s">
        <v>77</v>
      </c>
      <c r="L160" s="254" t="s">
        <v>77</v>
      </c>
      <c r="M160" s="254" t="s">
        <v>77</v>
      </c>
      <c r="N160" s="254" t="s">
        <v>77</v>
      </c>
      <c r="O160" s="254" t="s">
        <v>77</v>
      </c>
      <c r="P160" s="41"/>
    </row>
    <row r="161" spans="1:16" s="14" customFormat="1" ht="10.5" customHeight="1" x14ac:dyDescent="0.2">
      <c r="A161" s="133"/>
      <c r="B161" s="253" t="s">
        <v>57</v>
      </c>
      <c r="C161" s="254" t="s">
        <v>77</v>
      </c>
      <c r="D161" s="254" t="s">
        <v>77</v>
      </c>
      <c r="E161" s="254" t="s">
        <v>82</v>
      </c>
      <c r="F161" s="254" t="s">
        <v>82</v>
      </c>
      <c r="G161" s="254" t="s">
        <v>82</v>
      </c>
      <c r="H161" s="254" t="s">
        <v>82</v>
      </c>
      <c r="I161" s="254" t="s">
        <v>82</v>
      </c>
      <c r="J161" s="254" t="s">
        <v>82</v>
      </c>
      <c r="K161" s="254" t="s">
        <v>82</v>
      </c>
      <c r="L161" s="254" t="s">
        <v>77</v>
      </c>
      <c r="M161" s="254" t="s">
        <v>77</v>
      </c>
      <c r="N161" s="254" t="s">
        <v>77</v>
      </c>
      <c r="O161" s="254" t="s">
        <v>82</v>
      </c>
      <c r="P161" s="41"/>
    </row>
    <row r="162" spans="1:16" s="14" customFormat="1" ht="10.5" customHeight="1" x14ac:dyDescent="0.2">
      <c r="A162" s="133"/>
      <c r="B162" s="253" t="s">
        <v>60</v>
      </c>
      <c r="C162" s="254" t="s">
        <v>77</v>
      </c>
      <c r="D162" s="254" t="s">
        <v>82</v>
      </c>
      <c r="E162" s="254" t="s">
        <v>82</v>
      </c>
      <c r="F162" s="254" t="s">
        <v>82</v>
      </c>
      <c r="G162" s="254" t="s">
        <v>82</v>
      </c>
      <c r="H162" s="254" t="s">
        <v>82</v>
      </c>
      <c r="I162" s="254" t="s">
        <v>82</v>
      </c>
      <c r="J162" s="254" t="s">
        <v>82</v>
      </c>
      <c r="K162" s="254" t="s">
        <v>82</v>
      </c>
      <c r="L162" s="254" t="s">
        <v>77</v>
      </c>
      <c r="M162" s="254" t="s">
        <v>77</v>
      </c>
      <c r="N162" s="254" t="s">
        <v>77</v>
      </c>
      <c r="O162" s="254" t="s">
        <v>82</v>
      </c>
      <c r="P162" s="41"/>
    </row>
    <row r="163" spans="1:16" s="14" customFormat="1" ht="10.5" customHeight="1" x14ac:dyDescent="0.2">
      <c r="A163" s="133"/>
      <c r="B163" s="253" t="s">
        <v>64</v>
      </c>
      <c r="C163" s="254" t="s">
        <v>82</v>
      </c>
      <c r="D163" s="254" t="s">
        <v>82</v>
      </c>
      <c r="E163" s="254" t="s">
        <v>82</v>
      </c>
      <c r="F163" s="254" t="s">
        <v>82</v>
      </c>
      <c r="G163" s="254" t="s">
        <v>82</v>
      </c>
      <c r="H163" s="254" t="s">
        <v>82</v>
      </c>
      <c r="I163" s="254" t="s">
        <v>82</v>
      </c>
      <c r="J163" s="254" t="s">
        <v>82</v>
      </c>
      <c r="K163" s="254" t="s">
        <v>82</v>
      </c>
      <c r="L163" s="254" t="s">
        <v>77</v>
      </c>
      <c r="M163" s="254" t="s">
        <v>77</v>
      </c>
      <c r="N163" s="254" t="s">
        <v>77</v>
      </c>
      <c r="O163" s="254" t="s">
        <v>82</v>
      </c>
      <c r="P163" s="41"/>
    </row>
    <row r="164" spans="1:16" s="14" customFormat="1" ht="10.5" customHeight="1" x14ac:dyDescent="0.2">
      <c r="A164" s="133"/>
      <c r="B164" s="255" t="s">
        <v>81</v>
      </c>
      <c r="C164" s="254" t="s">
        <v>77</v>
      </c>
      <c r="D164" s="254" t="s">
        <v>77</v>
      </c>
      <c r="E164" s="254">
        <v>0.21</v>
      </c>
      <c r="F164" s="254" t="s">
        <v>82</v>
      </c>
      <c r="G164" s="254" t="s">
        <v>82</v>
      </c>
      <c r="H164" s="254" t="s">
        <v>82</v>
      </c>
      <c r="I164" s="254" t="s">
        <v>82</v>
      </c>
      <c r="J164" s="254" t="s">
        <v>82</v>
      </c>
      <c r="K164" s="254" t="s">
        <v>82</v>
      </c>
      <c r="L164" s="254" t="s">
        <v>77</v>
      </c>
      <c r="M164" s="254" t="s">
        <v>77</v>
      </c>
      <c r="N164" s="254" t="s">
        <v>77</v>
      </c>
      <c r="O164" s="254" t="s">
        <v>82</v>
      </c>
      <c r="P164" s="41"/>
    </row>
    <row r="165" spans="1:16" s="14" customFormat="1" ht="10.5" customHeight="1" x14ac:dyDescent="0.2">
      <c r="A165" s="133"/>
      <c r="B165" s="255" t="s">
        <v>88</v>
      </c>
      <c r="C165" s="254" t="s">
        <v>77</v>
      </c>
      <c r="D165" s="254" t="s">
        <v>77</v>
      </c>
      <c r="E165" s="254" t="s">
        <v>82</v>
      </c>
      <c r="F165" s="254" t="s">
        <v>82</v>
      </c>
      <c r="G165" s="254" t="s">
        <v>82</v>
      </c>
      <c r="H165" s="254" t="s">
        <v>82</v>
      </c>
      <c r="I165" s="254" t="s">
        <v>82</v>
      </c>
      <c r="J165" s="254" t="s">
        <v>82</v>
      </c>
      <c r="K165" s="254" t="s">
        <v>82</v>
      </c>
      <c r="L165" s="254" t="s">
        <v>77</v>
      </c>
      <c r="M165" s="254" t="s">
        <v>77</v>
      </c>
      <c r="N165" s="254" t="s">
        <v>77</v>
      </c>
      <c r="O165" s="254" t="s">
        <v>82</v>
      </c>
      <c r="P165" s="41"/>
    </row>
    <row r="166" spans="1:16" s="14" customFormat="1" ht="10.5" customHeight="1" x14ac:dyDescent="0.2">
      <c r="A166" s="133"/>
      <c r="B166" s="204" t="s">
        <v>90</v>
      </c>
      <c r="C166" s="254" t="s">
        <v>77</v>
      </c>
      <c r="D166" s="254" t="s">
        <v>77</v>
      </c>
      <c r="E166" s="254" t="s">
        <v>82</v>
      </c>
      <c r="F166" s="254" t="s">
        <v>82</v>
      </c>
      <c r="G166" s="254" t="s">
        <v>82</v>
      </c>
      <c r="H166" s="254" t="s">
        <v>82</v>
      </c>
      <c r="I166" s="254" t="s">
        <v>82</v>
      </c>
      <c r="J166" s="254" t="s">
        <v>82</v>
      </c>
      <c r="K166" s="254" t="s">
        <v>82</v>
      </c>
      <c r="L166" s="254" t="s">
        <v>77</v>
      </c>
      <c r="M166" s="254" t="s">
        <v>77</v>
      </c>
      <c r="N166" s="254" t="s">
        <v>77</v>
      </c>
      <c r="O166" s="254" t="s">
        <v>82</v>
      </c>
      <c r="P166" s="41"/>
    </row>
    <row r="167" spans="1:16" s="14" customFormat="1" ht="10.5" customHeight="1" x14ac:dyDescent="0.2">
      <c r="A167" s="133"/>
      <c r="B167" s="204" t="s">
        <v>94</v>
      </c>
      <c r="C167" s="254" t="s">
        <v>77</v>
      </c>
      <c r="D167" s="254" t="s">
        <v>77</v>
      </c>
      <c r="E167" s="254" t="s">
        <v>82</v>
      </c>
      <c r="F167" s="254" t="s">
        <v>82</v>
      </c>
      <c r="G167" s="254" t="s">
        <v>82</v>
      </c>
      <c r="H167" s="254" t="s">
        <v>82</v>
      </c>
      <c r="I167" s="254" t="s">
        <v>82</v>
      </c>
      <c r="J167" s="254" t="s">
        <v>82</v>
      </c>
      <c r="K167" s="254" t="s">
        <v>82</v>
      </c>
      <c r="L167" s="254" t="s">
        <v>77</v>
      </c>
      <c r="M167" s="254" t="s">
        <v>77</v>
      </c>
      <c r="N167" s="254" t="s">
        <v>77</v>
      </c>
      <c r="O167" s="254" t="s">
        <v>82</v>
      </c>
      <c r="P167" s="41"/>
    </row>
    <row r="168" spans="1:16" s="42" customFormat="1" ht="10.5" customHeight="1" x14ac:dyDescent="0.2">
      <c r="A168" s="133"/>
      <c r="B168" s="204" t="s">
        <v>138</v>
      </c>
      <c r="C168" s="254" t="s">
        <v>77</v>
      </c>
      <c r="D168" s="254" t="s">
        <v>77</v>
      </c>
      <c r="E168" s="254" t="s">
        <v>82</v>
      </c>
      <c r="F168" s="254" t="s">
        <v>82</v>
      </c>
      <c r="G168" s="254" t="s">
        <v>82</v>
      </c>
      <c r="H168" s="254" t="s">
        <v>82</v>
      </c>
      <c r="I168" s="254" t="s">
        <v>82</v>
      </c>
      <c r="J168" s="254" t="s">
        <v>82</v>
      </c>
      <c r="K168" s="254" t="s">
        <v>82</v>
      </c>
      <c r="L168" s="254" t="s">
        <v>77</v>
      </c>
      <c r="M168" s="254" t="s">
        <v>77</v>
      </c>
      <c r="N168" s="254" t="s">
        <v>77</v>
      </c>
      <c r="O168" s="254" t="s">
        <v>82</v>
      </c>
      <c r="P168" s="41"/>
    </row>
    <row r="169" spans="1:16" s="42" customFormat="1" ht="10.5" customHeight="1" x14ac:dyDescent="0.2">
      <c r="A169" s="133"/>
      <c r="B169" s="204" t="s">
        <v>142</v>
      </c>
      <c r="C169" s="254" t="s">
        <v>77</v>
      </c>
      <c r="D169" s="254" t="s">
        <v>77</v>
      </c>
      <c r="E169" s="254" t="s">
        <v>82</v>
      </c>
      <c r="F169" s="254" t="s">
        <v>77</v>
      </c>
      <c r="G169" s="254" t="s">
        <v>77</v>
      </c>
      <c r="H169" s="254" t="s">
        <v>77</v>
      </c>
      <c r="I169" s="254" t="s">
        <v>77</v>
      </c>
      <c r="J169" s="254" t="s">
        <v>77</v>
      </c>
      <c r="K169" s="254" t="s">
        <v>77</v>
      </c>
      <c r="L169" s="254" t="s">
        <v>77</v>
      </c>
      <c r="M169" s="254" t="s">
        <v>77</v>
      </c>
      <c r="N169" s="254" t="s">
        <v>77</v>
      </c>
      <c r="O169" s="254" t="s">
        <v>82</v>
      </c>
      <c r="P169" s="41"/>
    </row>
    <row r="170" spans="1:16" s="14" customFormat="1" ht="6" customHeight="1" x14ac:dyDescent="0.2">
      <c r="A170" s="133"/>
      <c r="B170" s="256"/>
      <c r="C170" s="257"/>
      <c r="D170" s="257"/>
      <c r="E170" s="257"/>
      <c r="F170" s="257"/>
      <c r="G170" s="257"/>
      <c r="H170" s="257"/>
      <c r="I170" s="257"/>
      <c r="J170" s="257"/>
      <c r="K170" s="257"/>
      <c r="L170" s="254"/>
      <c r="M170" s="254"/>
      <c r="N170" s="254"/>
      <c r="O170" s="254"/>
      <c r="P170" s="41"/>
    </row>
    <row r="171" spans="1:16" s="14" customFormat="1" ht="10.5" customHeight="1" x14ac:dyDescent="0.2">
      <c r="A171" s="133" t="s">
        <v>25</v>
      </c>
      <c r="B171" s="253" t="s">
        <v>56</v>
      </c>
      <c r="C171" s="85" t="s">
        <v>77</v>
      </c>
      <c r="D171" s="85" t="s">
        <v>77</v>
      </c>
      <c r="E171" s="85" t="s">
        <v>77</v>
      </c>
      <c r="F171" s="85" t="s">
        <v>77</v>
      </c>
      <c r="G171" s="85" t="s">
        <v>77</v>
      </c>
      <c r="H171" s="85" t="s">
        <v>77</v>
      </c>
      <c r="I171" s="85" t="s">
        <v>77</v>
      </c>
      <c r="J171" s="85" t="s">
        <v>77</v>
      </c>
      <c r="K171" s="85" t="s">
        <v>77</v>
      </c>
      <c r="L171" s="85" t="s">
        <v>77</v>
      </c>
      <c r="M171" s="85" t="s">
        <v>77</v>
      </c>
      <c r="N171" s="85" t="s">
        <v>77</v>
      </c>
      <c r="O171" s="85" t="s">
        <v>82</v>
      </c>
      <c r="P171" s="41"/>
    </row>
    <row r="172" spans="1:16" s="14" customFormat="1" ht="10.5" customHeight="1" x14ac:dyDescent="0.2">
      <c r="A172" s="133"/>
      <c r="B172" s="253" t="s">
        <v>57</v>
      </c>
      <c r="C172" s="85" t="s">
        <v>77</v>
      </c>
      <c r="D172" s="85" t="s">
        <v>77</v>
      </c>
      <c r="E172" s="85" t="s">
        <v>77</v>
      </c>
      <c r="F172" s="85" t="s">
        <v>82</v>
      </c>
      <c r="G172" s="85" t="s">
        <v>82</v>
      </c>
      <c r="H172" s="85" t="s">
        <v>82</v>
      </c>
      <c r="I172" s="85" t="s">
        <v>82</v>
      </c>
      <c r="J172" s="85" t="s">
        <v>82</v>
      </c>
      <c r="K172" s="85" t="s">
        <v>82</v>
      </c>
      <c r="L172" s="85" t="s">
        <v>77</v>
      </c>
      <c r="M172" s="85" t="s">
        <v>77</v>
      </c>
      <c r="N172" s="85" t="s">
        <v>77</v>
      </c>
      <c r="O172" s="85" t="s">
        <v>82</v>
      </c>
      <c r="P172" s="41"/>
    </row>
    <row r="173" spans="1:16" s="14" customFormat="1" ht="10.5" customHeight="1" x14ac:dyDescent="0.2">
      <c r="A173" s="133"/>
      <c r="B173" s="253" t="s">
        <v>60</v>
      </c>
      <c r="C173" s="85" t="s">
        <v>77</v>
      </c>
      <c r="D173" s="85" t="s">
        <v>82</v>
      </c>
      <c r="E173" s="85" t="s">
        <v>82</v>
      </c>
      <c r="F173" s="85" t="s">
        <v>82</v>
      </c>
      <c r="G173" s="85" t="s">
        <v>82</v>
      </c>
      <c r="H173" s="85" t="s">
        <v>82</v>
      </c>
      <c r="I173" s="85" t="s">
        <v>82</v>
      </c>
      <c r="J173" s="85" t="s">
        <v>82</v>
      </c>
      <c r="K173" s="85" t="s">
        <v>82</v>
      </c>
      <c r="L173" s="85" t="s">
        <v>77</v>
      </c>
      <c r="M173" s="85" t="s">
        <v>77</v>
      </c>
      <c r="N173" s="85" t="s">
        <v>77</v>
      </c>
      <c r="O173" s="85" t="s">
        <v>82</v>
      </c>
      <c r="P173" s="41"/>
    </row>
    <row r="174" spans="1:16" s="14" customFormat="1" ht="10.5" customHeight="1" x14ac:dyDescent="0.2">
      <c r="A174" s="133"/>
      <c r="B174" s="255" t="s">
        <v>64</v>
      </c>
      <c r="C174" s="85" t="s">
        <v>77</v>
      </c>
      <c r="D174" s="85" t="s">
        <v>82</v>
      </c>
      <c r="E174" s="85" t="s">
        <v>82</v>
      </c>
      <c r="F174" s="85" t="s">
        <v>82</v>
      </c>
      <c r="G174" s="85" t="s">
        <v>82</v>
      </c>
      <c r="H174" s="85" t="s">
        <v>82</v>
      </c>
      <c r="I174" s="85" t="s">
        <v>82</v>
      </c>
      <c r="J174" s="85" t="s">
        <v>82</v>
      </c>
      <c r="K174" s="85" t="s">
        <v>82</v>
      </c>
      <c r="L174" s="85" t="s">
        <v>77</v>
      </c>
      <c r="M174" s="85" t="s">
        <v>77</v>
      </c>
      <c r="N174" s="85" t="s">
        <v>77</v>
      </c>
      <c r="O174" s="85" t="s">
        <v>82</v>
      </c>
      <c r="P174" s="41"/>
    </row>
    <row r="175" spans="1:16" s="14" customFormat="1" ht="10.5" customHeight="1" x14ac:dyDescent="0.2">
      <c r="A175" s="133"/>
      <c r="B175" s="255" t="s">
        <v>81</v>
      </c>
      <c r="C175" s="85" t="s">
        <v>77</v>
      </c>
      <c r="D175" s="85" t="s">
        <v>82</v>
      </c>
      <c r="E175" s="85">
        <v>13.75</v>
      </c>
      <c r="F175" s="85" t="s">
        <v>82</v>
      </c>
      <c r="G175" s="85" t="s">
        <v>82</v>
      </c>
      <c r="H175" s="85" t="s">
        <v>82</v>
      </c>
      <c r="I175" s="85" t="s">
        <v>82</v>
      </c>
      <c r="J175" s="85" t="s">
        <v>82</v>
      </c>
      <c r="K175" s="85" t="s">
        <v>82</v>
      </c>
      <c r="L175" s="85" t="s">
        <v>77</v>
      </c>
      <c r="M175" s="85" t="s">
        <v>77</v>
      </c>
      <c r="N175" s="85" t="s">
        <v>77</v>
      </c>
      <c r="O175" s="85" t="s">
        <v>82</v>
      </c>
      <c r="P175" s="41"/>
    </row>
    <row r="176" spans="1:16" s="14" customFormat="1" ht="10.5" customHeight="1" x14ac:dyDescent="0.2">
      <c r="A176" s="133"/>
      <c r="B176" s="255" t="s">
        <v>88</v>
      </c>
      <c r="C176" s="85" t="s">
        <v>77</v>
      </c>
      <c r="D176" s="85" t="s">
        <v>82</v>
      </c>
      <c r="E176" s="85" t="s">
        <v>82</v>
      </c>
      <c r="F176" s="85" t="s">
        <v>82</v>
      </c>
      <c r="G176" s="85" t="s">
        <v>82</v>
      </c>
      <c r="H176" s="85" t="s">
        <v>82</v>
      </c>
      <c r="I176" s="85" t="s">
        <v>82</v>
      </c>
      <c r="J176" s="85" t="s">
        <v>82</v>
      </c>
      <c r="K176" s="85" t="s">
        <v>82</v>
      </c>
      <c r="L176" s="85" t="s">
        <v>77</v>
      </c>
      <c r="M176" s="85" t="s">
        <v>77</v>
      </c>
      <c r="N176" s="85" t="s">
        <v>77</v>
      </c>
      <c r="O176" s="85" t="s">
        <v>82</v>
      </c>
      <c r="P176" s="41"/>
    </row>
    <row r="177" spans="1:16" s="14" customFormat="1" ht="10.5" customHeight="1" x14ac:dyDescent="0.2">
      <c r="A177" s="133"/>
      <c r="B177" s="204" t="s">
        <v>90</v>
      </c>
      <c r="C177" s="85" t="s">
        <v>77</v>
      </c>
      <c r="D177" s="85" t="s">
        <v>82</v>
      </c>
      <c r="E177" s="85" t="s">
        <v>82</v>
      </c>
      <c r="F177" s="85" t="s">
        <v>82</v>
      </c>
      <c r="G177" s="85" t="s">
        <v>82</v>
      </c>
      <c r="H177" s="85" t="s">
        <v>82</v>
      </c>
      <c r="I177" s="85" t="s">
        <v>82</v>
      </c>
      <c r="J177" s="85" t="s">
        <v>82</v>
      </c>
      <c r="K177" s="85" t="s">
        <v>82</v>
      </c>
      <c r="L177" s="85" t="s">
        <v>77</v>
      </c>
      <c r="M177" s="85" t="s">
        <v>77</v>
      </c>
      <c r="N177" s="85" t="s">
        <v>77</v>
      </c>
      <c r="O177" s="85">
        <v>11.18</v>
      </c>
      <c r="P177" s="41"/>
    </row>
    <row r="178" spans="1:16" s="42" customFormat="1" ht="10.5" customHeight="1" x14ac:dyDescent="0.2">
      <c r="A178" s="133"/>
      <c r="B178" s="204" t="s">
        <v>94</v>
      </c>
      <c r="C178" s="85" t="s">
        <v>77</v>
      </c>
      <c r="D178" s="85" t="s">
        <v>82</v>
      </c>
      <c r="E178" s="85" t="s">
        <v>82</v>
      </c>
      <c r="F178" s="85" t="s">
        <v>82</v>
      </c>
      <c r="G178" s="85" t="s">
        <v>82</v>
      </c>
      <c r="H178" s="85" t="s">
        <v>82</v>
      </c>
      <c r="I178" s="85" t="s">
        <v>82</v>
      </c>
      <c r="J178" s="85" t="s">
        <v>82</v>
      </c>
      <c r="K178" s="85" t="s">
        <v>82</v>
      </c>
      <c r="L178" s="85" t="s">
        <v>77</v>
      </c>
      <c r="M178" s="85" t="s">
        <v>77</v>
      </c>
      <c r="N178" s="85" t="s">
        <v>77</v>
      </c>
      <c r="O178" s="85">
        <v>14.48</v>
      </c>
      <c r="P178" s="41"/>
    </row>
    <row r="179" spans="1:16" s="42" customFormat="1" ht="10.5" customHeight="1" x14ac:dyDescent="0.2">
      <c r="A179" s="133"/>
      <c r="B179" s="204" t="s">
        <v>138</v>
      </c>
      <c r="C179" s="85" t="s">
        <v>77</v>
      </c>
      <c r="D179" s="85" t="s">
        <v>82</v>
      </c>
      <c r="E179" s="85" t="s">
        <v>82</v>
      </c>
      <c r="F179" s="85" t="s">
        <v>82</v>
      </c>
      <c r="G179" s="85" t="s">
        <v>82</v>
      </c>
      <c r="H179" s="85" t="s">
        <v>82</v>
      </c>
      <c r="I179" s="85" t="s">
        <v>82</v>
      </c>
      <c r="J179" s="85" t="s">
        <v>82</v>
      </c>
      <c r="K179" s="85" t="s">
        <v>82</v>
      </c>
      <c r="L179" s="85" t="s">
        <v>77</v>
      </c>
      <c r="M179" s="85" t="s">
        <v>77</v>
      </c>
      <c r="N179" s="85" t="s">
        <v>77</v>
      </c>
      <c r="O179" s="85">
        <f>25.65/2</f>
        <v>12.824999999999999</v>
      </c>
      <c r="P179" s="41"/>
    </row>
    <row r="180" spans="1:16" s="42" customFormat="1" ht="10.5" customHeight="1" x14ac:dyDescent="0.2">
      <c r="A180" s="133"/>
      <c r="B180" s="204" t="s">
        <v>142</v>
      </c>
      <c r="C180" s="85" t="s">
        <v>77</v>
      </c>
      <c r="D180" s="85" t="s">
        <v>82</v>
      </c>
      <c r="E180" s="85" t="s">
        <v>82</v>
      </c>
      <c r="F180" s="85" t="s">
        <v>77</v>
      </c>
      <c r="G180" s="85" t="s">
        <v>77</v>
      </c>
      <c r="H180" s="85" t="s">
        <v>77</v>
      </c>
      <c r="I180" s="85" t="s">
        <v>77</v>
      </c>
      <c r="J180" s="85" t="s">
        <v>77</v>
      </c>
      <c r="K180" s="85" t="s">
        <v>77</v>
      </c>
      <c r="L180" s="85" t="s">
        <v>77</v>
      </c>
      <c r="M180" s="85" t="s">
        <v>77</v>
      </c>
      <c r="N180" s="85" t="s">
        <v>77</v>
      </c>
      <c r="O180" s="85">
        <f>35.77/2</f>
        <v>17.885000000000002</v>
      </c>
      <c r="P180" s="472"/>
    </row>
    <row r="181" spans="1:16" s="14" customFormat="1" ht="7.15" customHeight="1" thickBot="1" x14ac:dyDescent="0.25">
      <c r="A181" s="136"/>
      <c r="B181" s="107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9"/>
    </row>
    <row r="182" spans="1:16" s="164" customFormat="1" ht="13.5" customHeight="1" x14ac:dyDescent="0.15">
      <c r="A182" s="548" t="s">
        <v>73</v>
      </c>
      <c r="B182" s="530"/>
      <c r="C182" s="530"/>
      <c r="D182" s="530"/>
      <c r="E182" s="531"/>
      <c r="F182" s="531"/>
      <c r="G182" s="531"/>
      <c r="H182" s="531"/>
      <c r="I182" s="531"/>
      <c r="J182" s="531"/>
      <c r="K182" s="531"/>
      <c r="L182" s="531"/>
      <c r="M182" s="531"/>
      <c r="N182" s="531"/>
      <c r="O182" s="531"/>
    </row>
    <row r="183" spans="1:16" s="164" customFormat="1" ht="12" customHeight="1" x14ac:dyDescent="0.2">
      <c r="A183" s="532" t="s">
        <v>96</v>
      </c>
      <c r="B183" s="532"/>
      <c r="C183" s="532"/>
      <c r="D183" s="532"/>
      <c r="E183" s="533"/>
      <c r="F183" s="533"/>
      <c r="G183" s="534"/>
      <c r="H183" s="534"/>
      <c r="I183" s="534"/>
      <c r="J183" s="534"/>
      <c r="K183" s="534"/>
      <c r="L183" s="534"/>
      <c r="M183" s="534"/>
      <c r="N183" s="534"/>
      <c r="O183" s="534"/>
    </row>
    <row r="184" spans="1:16" s="164" customFormat="1" ht="12" customHeight="1" x14ac:dyDescent="0.2">
      <c r="A184" s="573" t="s">
        <v>154</v>
      </c>
      <c r="B184" s="573"/>
      <c r="C184" s="573"/>
      <c r="D184" s="573"/>
      <c r="E184" s="574"/>
      <c r="F184" s="574"/>
      <c r="G184" s="574"/>
      <c r="H184" s="574"/>
      <c r="I184" s="574"/>
      <c r="J184" s="534"/>
      <c r="K184" s="534"/>
      <c r="L184" s="534"/>
      <c r="M184" s="534"/>
      <c r="N184" s="534"/>
      <c r="O184" s="534"/>
    </row>
    <row r="185" spans="1:16" s="164" customFormat="1" ht="12" customHeight="1" x14ac:dyDescent="0.2">
      <c r="A185" s="573" t="s">
        <v>155</v>
      </c>
      <c r="B185" s="573"/>
      <c r="C185" s="573"/>
      <c r="D185" s="573"/>
      <c r="E185" s="534"/>
      <c r="F185" s="534"/>
      <c r="G185" s="534"/>
      <c r="H185" s="534"/>
      <c r="I185" s="534"/>
      <c r="J185" s="534"/>
      <c r="K185" s="534"/>
      <c r="L185" s="534"/>
      <c r="M185" s="534"/>
      <c r="N185" s="534"/>
      <c r="O185" s="534"/>
    </row>
    <row r="186" spans="1:16" s="164" customFormat="1" ht="12" customHeight="1" x14ac:dyDescent="0.2">
      <c r="A186" s="535" t="s">
        <v>84</v>
      </c>
      <c r="B186" s="534"/>
      <c r="C186" s="534"/>
      <c r="D186" s="534"/>
      <c r="E186" s="534"/>
      <c r="F186" s="534"/>
      <c r="G186" s="534"/>
      <c r="H186" s="534"/>
      <c r="I186" s="534"/>
      <c r="J186" s="534"/>
      <c r="K186" s="534"/>
      <c r="L186" s="534"/>
      <c r="M186" s="534"/>
      <c r="N186" s="534"/>
      <c r="O186" s="534"/>
    </row>
    <row r="187" spans="1:16" s="164" customFormat="1" ht="12" customHeight="1" x14ac:dyDescent="0.2">
      <c r="A187" s="536" t="s">
        <v>87</v>
      </c>
      <c r="B187" s="534"/>
      <c r="C187" s="534"/>
      <c r="D187" s="534"/>
      <c r="E187" s="534"/>
      <c r="F187" s="534"/>
      <c r="G187" s="534"/>
      <c r="H187" s="534"/>
      <c r="I187" s="534"/>
      <c r="J187" s="534"/>
      <c r="K187" s="534"/>
      <c r="L187" s="534"/>
      <c r="M187" s="534"/>
      <c r="N187" s="534"/>
      <c r="O187" s="534"/>
    </row>
    <row r="188" spans="1:16" s="164" customFormat="1" ht="12" customHeight="1" x14ac:dyDescent="0.2">
      <c r="A188" s="536" t="s">
        <v>91</v>
      </c>
      <c r="B188" s="534"/>
      <c r="C188" s="534"/>
      <c r="D188" s="534"/>
      <c r="E188" s="534"/>
      <c r="F188" s="534"/>
      <c r="G188" s="534"/>
      <c r="H188" s="534"/>
      <c r="I188" s="534"/>
      <c r="J188" s="534"/>
      <c r="K188" s="534"/>
      <c r="L188" s="534"/>
      <c r="M188" s="534"/>
      <c r="N188" s="534"/>
      <c r="O188" s="534"/>
    </row>
    <row r="189" spans="1:16" s="42" customFormat="1" ht="12" customHeight="1" x14ac:dyDescent="0.2">
      <c r="A189" s="187"/>
      <c r="B189" s="96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</row>
    <row r="190" spans="1:16" s="14" customFormat="1" ht="12" customHeight="1" x14ac:dyDescent="0.2">
      <c r="A190" s="133"/>
      <c r="B190" s="96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</row>
    <row r="191" spans="1:16" s="14" customFormat="1" ht="12" customHeight="1" x14ac:dyDescent="0.2">
      <c r="A191" s="467"/>
      <c r="B191" s="96"/>
      <c r="C191" s="97"/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</row>
    <row r="192" spans="1:16" s="14" customFormat="1" ht="12" customHeight="1" x14ac:dyDescent="0.2">
      <c r="A192" s="467"/>
      <c r="B192" s="96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</row>
    <row r="193" spans="1:15" s="14" customFormat="1" ht="12" customHeight="1" x14ac:dyDescent="0.2">
      <c r="A193" s="133"/>
      <c r="B193" s="96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</row>
    <row r="194" spans="1:15" s="14" customFormat="1" ht="12" customHeight="1" x14ac:dyDescent="0.2">
      <c r="A194" s="133"/>
      <c r="B194" s="96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</row>
    <row r="195" spans="1:15" s="14" customFormat="1" ht="12" customHeight="1" x14ac:dyDescent="0.2">
      <c r="A195" s="133"/>
      <c r="B195" s="96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</row>
    <row r="196" spans="1:15" s="14" customFormat="1" ht="12" customHeight="1" x14ac:dyDescent="0.2">
      <c r="A196" s="6"/>
      <c r="B196" s="73"/>
    </row>
    <row r="197" spans="1:15" s="14" customFormat="1" ht="12" customHeight="1" x14ac:dyDescent="0.2">
      <c r="A197" s="6"/>
      <c r="B197" s="73"/>
    </row>
    <row r="198" spans="1:15" s="14" customFormat="1" ht="12" customHeight="1" x14ac:dyDescent="0.2">
      <c r="A198" s="6"/>
      <c r="B198" s="73"/>
    </row>
    <row r="199" spans="1:15" s="14" customFormat="1" ht="9.9499999999999993" customHeight="1" x14ac:dyDescent="0.2">
      <c r="A199" s="6"/>
      <c r="B199" s="73"/>
    </row>
    <row r="200" spans="1:15" s="14" customFormat="1" ht="9.9499999999999993" customHeight="1" x14ac:dyDescent="0.2">
      <c r="A200" s="6"/>
      <c r="B200" s="73"/>
    </row>
    <row r="201" spans="1:15" s="14" customFormat="1" ht="9.9499999999999993" customHeight="1" x14ac:dyDescent="0.2">
      <c r="A201" s="6"/>
      <c r="B201" s="73"/>
    </row>
    <row r="202" spans="1:15" s="14" customFormat="1" ht="9.9499999999999993" customHeight="1" x14ac:dyDescent="0.2">
      <c r="A202" s="6"/>
      <c r="B202" s="73"/>
    </row>
    <row r="203" spans="1:15" s="14" customFormat="1" ht="9.9499999999999993" customHeight="1" x14ac:dyDescent="0.2">
      <c r="A203" s="6"/>
      <c r="B203" s="73"/>
    </row>
    <row r="204" spans="1:15" s="14" customFormat="1" ht="9.9499999999999993" customHeight="1" x14ac:dyDescent="0.2">
      <c r="A204" s="6"/>
      <c r="B204" s="73"/>
    </row>
    <row r="205" spans="1:15" s="14" customFormat="1" ht="9.9499999999999993" customHeight="1" x14ac:dyDescent="0.2">
      <c r="A205" s="6"/>
      <c r="B205" s="73"/>
    </row>
    <row r="206" spans="1:15" s="14" customFormat="1" ht="9.9499999999999993" customHeight="1" x14ac:dyDescent="0.2">
      <c r="A206" s="6"/>
      <c r="B206" s="73"/>
    </row>
    <row r="207" spans="1:15" s="14" customFormat="1" ht="9.9499999999999993" customHeight="1" x14ac:dyDescent="0.2">
      <c r="A207" s="6"/>
      <c r="B207" s="73"/>
    </row>
    <row r="208" spans="1:15" s="14" customFormat="1" ht="9.9499999999999993" customHeight="1" x14ac:dyDescent="0.2">
      <c r="A208" s="6"/>
      <c r="B208" s="73"/>
    </row>
    <row r="209" spans="1:2" s="14" customFormat="1" ht="9.9499999999999993" customHeight="1" x14ac:dyDescent="0.2">
      <c r="A209" s="6"/>
      <c r="B209" s="73"/>
    </row>
    <row r="210" spans="1:2" s="14" customFormat="1" ht="9.9499999999999993" customHeight="1" x14ac:dyDescent="0.2">
      <c r="A210" s="6"/>
      <c r="B210" s="73"/>
    </row>
    <row r="211" spans="1:2" s="14" customFormat="1" ht="9.9499999999999993" customHeight="1" x14ac:dyDescent="0.2">
      <c r="A211" s="6"/>
      <c r="B211" s="73"/>
    </row>
  </sheetData>
  <mergeCells count="18">
    <mergeCell ref="A1:O1"/>
    <mergeCell ref="C3:O3"/>
    <mergeCell ref="C39:O39"/>
    <mergeCell ref="C75:O75"/>
    <mergeCell ref="A74:A75"/>
    <mergeCell ref="A2:A3"/>
    <mergeCell ref="B2:B3"/>
    <mergeCell ref="A38:A39"/>
    <mergeCell ref="B38:B39"/>
    <mergeCell ref="B74:B75"/>
    <mergeCell ref="B110:B111"/>
    <mergeCell ref="C147:O147"/>
    <mergeCell ref="A146:A147"/>
    <mergeCell ref="B146:B147"/>
    <mergeCell ref="A185:D185"/>
    <mergeCell ref="C111:O111"/>
    <mergeCell ref="A110:A111"/>
    <mergeCell ref="A184:I184"/>
  </mergeCells>
  <phoneticPr fontId="2" type="noConversion"/>
  <printOptions horizontalCentered="1"/>
  <pageMargins left="0.5" right="0.5" top="0.5" bottom="0.25" header="0.3" footer="0.3"/>
  <pageSetup firstPageNumber="44" fitToHeight="0" orientation="portrait" useFirstPageNumber="1" r:id="rId1"/>
  <headerFooter alignWithMargins="0"/>
  <rowBreaks count="3" manualBreakCount="3">
    <brk id="73" max="14" man="1"/>
    <brk id="145" max="16383" man="1"/>
    <brk id="190" max="16383" man="1"/>
  </rowBreaks>
  <ignoredErrors>
    <ignoredError sqref="H1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2A6F1F"/>
  </sheetPr>
  <dimension ref="A1:R433"/>
  <sheetViews>
    <sheetView zoomScale="120" zoomScaleNormal="120" zoomScaleSheetLayoutView="140" workbookViewId="0">
      <pane xSplit="1" topLeftCell="B1" activePane="topRight" state="frozen"/>
      <selection pane="topRight" sqref="A1:I1"/>
    </sheetView>
  </sheetViews>
  <sheetFormatPr defaultColWidth="9.140625" defaultRowHeight="11.45" customHeight="1" x14ac:dyDescent="0.2"/>
  <cols>
    <col min="1" max="1" width="15.140625" style="115" customWidth="1"/>
    <col min="2" max="2" width="7.28515625" style="42" customWidth="1"/>
    <col min="3" max="3" width="8" style="1" customWidth="1"/>
    <col min="4" max="4" width="10" style="1" customWidth="1"/>
    <col min="5" max="5" width="10.28515625" style="1" customWidth="1"/>
    <col min="6" max="6" width="12.140625" style="10" customWidth="1"/>
    <col min="7" max="7" width="13.28515625" style="1" customWidth="1"/>
    <col min="8" max="8" width="11" style="1" customWidth="1"/>
    <col min="9" max="9" width="9.28515625" style="1" customWidth="1"/>
    <col min="10" max="11" width="12.140625" style="1" customWidth="1"/>
    <col min="12" max="12" width="9.140625" style="1" customWidth="1"/>
    <col min="13" max="13" width="9.140625" style="469" customWidth="1"/>
    <col min="14" max="16" width="9.140625" style="1" customWidth="1"/>
    <col min="17" max="16384" width="9.140625" style="1"/>
  </cols>
  <sheetData>
    <row r="1" spans="1:18" ht="16.5" customHeight="1" x14ac:dyDescent="0.2">
      <c r="A1" s="578" t="s">
        <v>145</v>
      </c>
      <c r="B1" s="578"/>
      <c r="C1" s="578"/>
      <c r="D1" s="578"/>
      <c r="E1" s="578"/>
      <c r="F1" s="578"/>
      <c r="G1" s="578"/>
      <c r="H1" s="578"/>
      <c r="I1" s="579"/>
      <c r="J1" s="79"/>
    </row>
    <row r="2" spans="1:18" ht="23.25" customHeight="1" x14ac:dyDescent="0.2">
      <c r="A2" s="387" t="s">
        <v>0</v>
      </c>
      <c r="B2" s="382" t="s">
        <v>1</v>
      </c>
      <c r="C2" s="369" t="s">
        <v>97</v>
      </c>
      <c r="D2" s="369" t="s">
        <v>179</v>
      </c>
      <c r="E2" s="369" t="s">
        <v>98</v>
      </c>
      <c r="F2" s="369" t="s">
        <v>99</v>
      </c>
      <c r="G2" s="370" t="s">
        <v>100</v>
      </c>
      <c r="H2" s="369" t="s">
        <v>180</v>
      </c>
      <c r="I2" s="369" t="s">
        <v>101</v>
      </c>
      <c r="J2" s="369" t="s">
        <v>97</v>
      </c>
      <c r="K2" s="369" t="s">
        <v>134</v>
      </c>
      <c r="L2" s="369" t="s">
        <v>98</v>
      </c>
      <c r="M2" s="470" t="s">
        <v>99</v>
      </c>
      <c r="N2" s="370" t="s">
        <v>100</v>
      </c>
      <c r="O2" s="369" t="s">
        <v>135</v>
      </c>
      <c r="P2" s="369" t="s">
        <v>101</v>
      </c>
    </row>
    <row r="3" spans="1:18" ht="3.75" customHeight="1" x14ac:dyDescent="0.2">
      <c r="B3" s="52"/>
      <c r="C3" s="54"/>
      <c r="D3" s="53"/>
      <c r="E3" s="117"/>
      <c r="F3" s="58"/>
      <c r="G3" s="58"/>
      <c r="H3" s="224"/>
      <c r="I3" s="54"/>
    </row>
    <row r="4" spans="1:18" ht="12" customHeight="1" x14ac:dyDescent="0.2">
      <c r="A4" s="110" t="s">
        <v>30</v>
      </c>
      <c r="B4" s="102">
        <v>2011</v>
      </c>
      <c r="C4" s="268">
        <v>17500</v>
      </c>
      <c r="D4" s="144" t="s">
        <v>77</v>
      </c>
      <c r="E4" s="140">
        <v>8</v>
      </c>
      <c r="F4" s="119">
        <v>140000</v>
      </c>
      <c r="G4" s="119">
        <v>140000</v>
      </c>
      <c r="H4" s="338">
        <v>430</v>
      </c>
      <c r="I4" s="268">
        <v>57975</v>
      </c>
    </row>
    <row r="5" spans="1:18" ht="12" customHeight="1" x14ac:dyDescent="0.25">
      <c r="A5" s="101"/>
      <c r="B5" s="102">
        <v>2012</v>
      </c>
      <c r="C5" s="268">
        <v>16000</v>
      </c>
      <c r="D5" s="144" t="s">
        <v>77</v>
      </c>
      <c r="E5" s="140">
        <v>8.4499999999999993</v>
      </c>
      <c r="F5" s="119">
        <v>135000</v>
      </c>
      <c r="G5" s="119">
        <v>135000</v>
      </c>
      <c r="H5" s="338">
        <v>482</v>
      </c>
      <c r="I5" s="268">
        <v>64970</v>
      </c>
    </row>
    <row r="6" spans="1:18" ht="12" customHeight="1" x14ac:dyDescent="0.25">
      <c r="A6" s="101"/>
      <c r="B6" s="104">
        <v>2013</v>
      </c>
      <c r="C6" s="268">
        <v>15200</v>
      </c>
      <c r="D6" s="144" t="s">
        <v>77</v>
      </c>
      <c r="E6" s="140">
        <v>8.9</v>
      </c>
      <c r="F6" s="119">
        <v>135000</v>
      </c>
      <c r="G6" s="119">
        <v>135000</v>
      </c>
      <c r="H6" s="338">
        <v>466</v>
      </c>
      <c r="I6" s="268">
        <v>62828</v>
      </c>
      <c r="J6" s="10"/>
    </row>
    <row r="7" spans="1:18" ht="12" customHeight="1" x14ac:dyDescent="0.25">
      <c r="A7" s="101"/>
      <c r="B7" s="104">
        <v>2014</v>
      </c>
      <c r="C7" s="268">
        <v>14500</v>
      </c>
      <c r="D7" s="144" t="s">
        <v>77</v>
      </c>
      <c r="E7" s="203">
        <v>8</v>
      </c>
      <c r="F7" s="119">
        <v>120000</v>
      </c>
      <c r="G7" s="196">
        <v>120000</v>
      </c>
      <c r="H7" s="338">
        <v>476</v>
      </c>
      <c r="I7" s="268">
        <v>57060</v>
      </c>
      <c r="J7" s="10"/>
    </row>
    <row r="8" spans="1:18" ht="12" customHeight="1" x14ac:dyDescent="0.25">
      <c r="A8" s="101"/>
      <c r="B8" s="199">
        <v>2015</v>
      </c>
      <c r="C8" s="271">
        <v>13500</v>
      </c>
      <c r="D8" s="202" t="s">
        <v>77</v>
      </c>
      <c r="E8" s="203">
        <v>7.45</v>
      </c>
      <c r="F8" s="196">
        <v>100500</v>
      </c>
      <c r="G8" s="196">
        <v>100000</v>
      </c>
      <c r="H8" s="197">
        <v>508</v>
      </c>
      <c r="I8" s="271">
        <v>50893</v>
      </c>
      <c r="J8" s="10"/>
    </row>
    <row r="9" spans="1:18" ht="12" customHeight="1" x14ac:dyDescent="0.25">
      <c r="A9" s="101"/>
      <c r="B9" s="199">
        <v>2016</v>
      </c>
      <c r="C9" s="271">
        <v>14000</v>
      </c>
      <c r="D9" s="202" t="s">
        <v>77</v>
      </c>
      <c r="E9" s="203">
        <v>9.1</v>
      </c>
      <c r="F9" s="196">
        <v>127500</v>
      </c>
      <c r="G9" s="196">
        <v>125000</v>
      </c>
      <c r="H9" s="197">
        <v>414</v>
      </c>
      <c r="I9" s="271">
        <v>51775</v>
      </c>
      <c r="J9" s="10"/>
    </row>
    <row r="10" spans="1:18" ht="12" customHeight="1" x14ac:dyDescent="0.25">
      <c r="A10" s="101"/>
      <c r="B10" s="199">
        <v>2017</v>
      </c>
      <c r="C10" s="271">
        <v>13000</v>
      </c>
      <c r="D10" s="202" t="s">
        <v>77</v>
      </c>
      <c r="E10" s="203">
        <v>8.85</v>
      </c>
      <c r="F10" s="196">
        <v>115000</v>
      </c>
      <c r="G10" s="196">
        <v>112500</v>
      </c>
      <c r="H10" s="197">
        <v>666</v>
      </c>
      <c r="I10" s="271">
        <v>74980</v>
      </c>
      <c r="J10" s="430"/>
    </row>
    <row r="11" spans="1:18" ht="12" customHeight="1" x14ac:dyDescent="0.25">
      <c r="A11" s="101"/>
      <c r="B11" s="102">
        <v>2018</v>
      </c>
      <c r="C11" s="271">
        <v>12400</v>
      </c>
      <c r="D11" s="202" t="s">
        <v>77</v>
      </c>
      <c r="E11" s="203">
        <v>10</v>
      </c>
      <c r="F11" s="196">
        <v>124000</v>
      </c>
      <c r="G11" s="196">
        <v>121500</v>
      </c>
      <c r="H11" s="197">
        <v>544</v>
      </c>
      <c r="I11" s="271">
        <v>66047</v>
      </c>
      <c r="J11" s="263"/>
    </row>
    <row r="12" spans="1:18" ht="12" customHeight="1" x14ac:dyDescent="0.25">
      <c r="A12" s="101"/>
      <c r="B12" s="102">
        <v>2019</v>
      </c>
      <c r="C12" s="271">
        <v>12800</v>
      </c>
      <c r="D12" s="202" t="s">
        <v>77</v>
      </c>
      <c r="E12" s="203">
        <v>10.1</v>
      </c>
      <c r="F12" s="196">
        <f>259000000/2000</f>
        <v>129500</v>
      </c>
      <c r="G12" s="196">
        <f>256400000/2000</f>
        <v>128200</v>
      </c>
      <c r="H12" s="197">
        <v>452</v>
      </c>
      <c r="I12" s="271">
        <v>57902</v>
      </c>
      <c r="J12" s="10"/>
      <c r="K12" s="46"/>
    </row>
    <row r="13" spans="1:18" ht="12" customHeight="1" x14ac:dyDescent="0.25">
      <c r="A13" s="101"/>
      <c r="B13" s="102">
        <v>2020</v>
      </c>
      <c r="C13" s="271">
        <v>12000</v>
      </c>
      <c r="D13" s="202" t="s">
        <v>77</v>
      </c>
      <c r="E13" s="203">
        <v>11.3</v>
      </c>
      <c r="F13" s="196">
        <f>271000000/2000</f>
        <v>135500</v>
      </c>
      <c r="G13" s="196">
        <f>268300000/2000</f>
        <v>134150</v>
      </c>
      <c r="H13" s="197">
        <v>582</v>
      </c>
      <c r="I13" s="271">
        <v>77959</v>
      </c>
      <c r="J13" s="471">
        <f>(C13-C12)/C12</f>
        <v>-6.25E-2</v>
      </c>
      <c r="K13" s="404" t="e">
        <f t="shared" ref="K13:P13" si="0">(D13-D12)/D12</f>
        <v>#VALUE!</v>
      </c>
      <c r="L13" s="404">
        <f t="shared" si="0"/>
        <v>0.11881188118811892</v>
      </c>
      <c r="M13" s="471">
        <f t="shared" si="0"/>
        <v>4.633204633204633E-2</v>
      </c>
      <c r="N13" s="404">
        <f t="shared" si="0"/>
        <v>4.6411856474258974E-2</v>
      </c>
      <c r="O13" s="404">
        <f t="shared" si="0"/>
        <v>0.28761061946902655</v>
      </c>
      <c r="P13" s="404">
        <f t="shared" si="0"/>
        <v>0.34639563400227974</v>
      </c>
      <c r="Q13" s="10">
        <f>C13</f>
        <v>12000</v>
      </c>
      <c r="R13" s="10">
        <f>F13</f>
        <v>135500</v>
      </c>
    </row>
    <row r="14" spans="1:18" ht="12" customHeight="1" x14ac:dyDescent="0.2">
      <c r="B14" s="102"/>
      <c r="C14" s="268"/>
      <c r="D14" s="144"/>
      <c r="E14" s="140"/>
      <c r="F14" s="119"/>
      <c r="G14" s="119"/>
      <c r="H14" s="338"/>
      <c r="I14" s="268"/>
    </row>
    <row r="15" spans="1:18" ht="12" customHeight="1" x14ac:dyDescent="0.2">
      <c r="A15" s="110" t="s">
        <v>31</v>
      </c>
      <c r="B15" s="102">
        <v>2011</v>
      </c>
      <c r="C15" s="268">
        <v>10500</v>
      </c>
      <c r="D15" s="144" t="s">
        <v>77</v>
      </c>
      <c r="E15" s="140">
        <v>5.96</v>
      </c>
      <c r="F15" s="119">
        <v>62550</v>
      </c>
      <c r="G15" s="119">
        <v>62550</v>
      </c>
      <c r="H15" s="338">
        <v>539</v>
      </c>
      <c r="I15" s="268">
        <v>33705</v>
      </c>
    </row>
    <row r="16" spans="1:18" ht="12" customHeight="1" x14ac:dyDescent="0.25">
      <c r="A16" s="101"/>
      <c r="B16" s="102">
        <v>2012</v>
      </c>
      <c r="C16" s="268">
        <v>10000</v>
      </c>
      <c r="D16" s="144" t="s">
        <v>77</v>
      </c>
      <c r="E16" s="140">
        <v>5.38</v>
      </c>
      <c r="F16" s="119">
        <v>53800</v>
      </c>
      <c r="G16" s="119">
        <v>53800</v>
      </c>
      <c r="H16" s="338">
        <v>600</v>
      </c>
      <c r="I16" s="268">
        <v>32260</v>
      </c>
    </row>
    <row r="17" spans="1:18" ht="12" customHeight="1" x14ac:dyDescent="0.25">
      <c r="A17" s="101"/>
      <c r="B17" s="104">
        <v>2013</v>
      </c>
      <c r="C17" s="268">
        <v>9500</v>
      </c>
      <c r="D17" s="144" t="s">
        <v>77</v>
      </c>
      <c r="E17" s="140">
        <v>4.96</v>
      </c>
      <c r="F17" s="119">
        <v>54400</v>
      </c>
      <c r="G17" s="119">
        <v>54400</v>
      </c>
      <c r="H17" s="338">
        <v>682</v>
      </c>
      <c r="I17" s="268">
        <v>37091</v>
      </c>
      <c r="J17" s="10"/>
    </row>
    <row r="18" spans="1:18" ht="12" customHeight="1" x14ac:dyDescent="0.25">
      <c r="A18" s="101"/>
      <c r="B18" s="104">
        <v>2014</v>
      </c>
      <c r="C18" s="268">
        <v>9500</v>
      </c>
      <c r="D18" s="202" t="s">
        <v>77</v>
      </c>
      <c r="E18" s="140">
        <v>5.04</v>
      </c>
      <c r="F18" s="119">
        <v>55400</v>
      </c>
      <c r="G18" s="119">
        <v>55400</v>
      </c>
      <c r="H18" s="338">
        <v>777</v>
      </c>
      <c r="I18" s="268">
        <v>43045</v>
      </c>
      <c r="J18" s="10"/>
    </row>
    <row r="19" spans="1:18" ht="12" customHeight="1" x14ac:dyDescent="0.25">
      <c r="A19" s="101"/>
      <c r="B19" s="199">
        <v>2015</v>
      </c>
      <c r="C19" s="271">
        <v>8900</v>
      </c>
      <c r="D19" s="202" t="s">
        <v>77</v>
      </c>
      <c r="E19" s="203">
        <v>3.7</v>
      </c>
      <c r="F19" s="196">
        <v>38500</v>
      </c>
      <c r="G19" s="196">
        <v>38500</v>
      </c>
      <c r="H19" s="197">
        <v>1020</v>
      </c>
      <c r="I19" s="271">
        <v>39372</v>
      </c>
      <c r="J19" s="10"/>
    </row>
    <row r="20" spans="1:18" ht="12" customHeight="1" x14ac:dyDescent="0.25">
      <c r="A20" s="101"/>
      <c r="B20" s="199">
        <v>2016</v>
      </c>
      <c r="C20" s="271">
        <v>8500</v>
      </c>
      <c r="D20" s="202" t="s">
        <v>77</v>
      </c>
      <c r="E20" s="203">
        <v>6.59</v>
      </c>
      <c r="F20" s="196">
        <v>56000</v>
      </c>
      <c r="G20" s="196">
        <v>55950</v>
      </c>
      <c r="H20" s="197">
        <v>875</v>
      </c>
      <c r="I20" s="271">
        <v>48929</v>
      </c>
      <c r="J20" s="10"/>
    </row>
    <row r="21" spans="1:18" ht="12" customHeight="1" x14ac:dyDescent="0.25">
      <c r="A21" s="101"/>
      <c r="B21" s="199">
        <v>2017</v>
      </c>
      <c r="C21" s="271">
        <v>10300</v>
      </c>
      <c r="D21" s="202" t="s">
        <v>77</v>
      </c>
      <c r="E21" s="203">
        <v>3.59</v>
      </c>
      <c r="F21" s="196">
        <v>37000</v>
      </c>
      <c r="G21" s="196">
        <v>36900</v>
      </c>
      <c r="H21" s="197">
        <v>945</v>
      </c>
      <c r="I21" s="271">
        <v>34870</v>
      </c>
      <c r="J21" s="10"/>
    </row>
    <row r="22" spans="1:18" ht="12" customHeight="1" x14ac:dyDescent="0.25">
      <c r="A22" s="101"/>
      <c r="B22" s="104">
        <v>2018</v>
      </c>
      <c r="C22" s="271">
        <v>9600</v>
      </c>
      <c r="D22" s="202" t="s">
        <v>77</v>
      </c>
      <c r="E22" s="203">
        <v>3.3</v>
      </c>
      <c r="F22" s="196">
        <v>31700</v>
      </c>
      <c r="G22" s="196">
        <v>31570</v>
      </c>
      <c r="H22" s="197">
        <v>1210</v>
      </c>
      <c r="I22" s="271">
        <v>38055</v>
      </c>
      <c r="J22" s="46"/>
    </row>
    <row r="23" spans="1:18" ht="12" customHeight="1" x14ac:dyDescent="0.25">
      <c r="A23" s="101"/>
      <c r="B23" s="104">
        <v>2019</v>
      </c>
      <c r="C23" s="271">
        <v>8600</v>
      </c>
      <c r="D23" s="202" t="s">
        <v>77</v>
      </c>
      <c r="E23" s="203">
        <v>5.0999999999999996</v>
      </c>
      <c r="F23" s="196">
        <v>43900</v>
      </c>
      <c r="G23" s="196">
        <v>43810</v>
      </c>
      <c r="H23" s="197">
        <v>923</v>
      </c>
      <c r="I23" s="271">
        <v>40444</v>
      </c>
      <c r="J23" s="46"/>
      <c r="K23" s="46"/>
      <c r="M23" s="471"/>
      <c r="N23" s="404"/>
    </row>
    <row r="24" spans="1:18" ht="12" customHeight="1" x14ac:dyDescent="0.25">
      <c r="A24" s="101"/>
      <c r="B24" s="104">
        <v>2020</v>
      </c>
      <c r="C24" s="271">
        <v>8000</v>
      </c>
      <c r="D24" s="202" t="s">
        <v>77</v>
      </c>
      <c r="E24" s="203">
        <v>3.9</v>
      </c>
      <c r="F24" s="196">
        <v>31200</v>
      </c>
      <c r="G24" s="196">
        <v>31100</v>
      </c>
      <c r="H24" s="197">
        <v>964</v>
      </c>
      <c r="I24" s="271">
        <v>29968</v>
      </c>
      <c r="J24" s="404">
        <f t="shared" ref="J24:P24" si="1">(C24-C23)/C23</f>
        <v>-6.9767441860465115E-2</v>
      </c>
      <c r="K24" s="404" t="e">
        <f t="shared" si="1"/>
        <v>#VALUE!</v>
      </c>
      <c r="L24" s="404">
        <f t="shared" si="1"/>
        <v>-0.23529411764705879</v>
      </c>
      <c r="M24" s="471">
        <f t="shared" si="1"/>
        <v>-0.28929384965831434</v>
      </c>
      <c r="N24" s="404">
        <f t="shared" si="1"/>
        <v>-0.29011641177813285</v>
      </c>
      <c r="O24" s="404">
        <f t="shared" si="1"/>
        <v>4.4420368364030335E-2</v>
      </c>
      <c r="P24" s="404">
        <f t="shared" si="1"/>
        <v>-0.25902482444862029</v>
      </c>
      <c r="Q24" s="10">
        <f>C24</f>
        <v>8000</v>
      </c>
      <c r="R24" s="10">
        <f>F24</f>
        <v>31200</v>
      </c>
    </row>
    <row r="25" spans="1:18" ht="12" customHeight="1" x14ac:dyDescent="0.2">
      <c r="B25" s="332"/>
      <c r="C25" s="268"/>
      <c r="D25" s="202"/>
      <c r="E25" s="140"/>
      <c r="F25" s="119"/>
      <c r="G25" s="119"/>
      <c r="H25" s="338"/>
      <c r="I25" s="268"/>
      <c r="K25" s="1" t="s">
        <v>68</v>
      </c>
    </row>
    <row r="26" spans="1:18" ht="12" customHeight="1" x14ac:dyDescent="0.2">
      <c r="A26" s="110" t="s">
        <v>32</v>
      </c>
      <c r="B26" s="332" t="s">
        <v>57</v>
      </c>
      <c r="C26" s="268">
        <v>52200</v>
      </c>
      <c r="D26" s="202" t="s">
        <v>77</v>
      </c>
      <c r="E26" s="140">
        <v>4.43</v>
      </c>
      <c r="F26" s="119">
        <v>231500</v>
      </c>
      <c r="G26" s="119">
        <v>231500</v>
      </c>
      <c r="H26" s="338">
        <v>1650</v>
      </c>
      <c r="I26" s="268">
        <v>381975</v>
      </c>
    </row>
    <row r="27" spans="1:18" ht="12" customHeight="1" x14ac:dyDescent="0.25">
      <c r="A27" s="111"/>
      <c r="B27" s="332" t="s">
        <v>60</v>
      </c>
      <c r="C27" s="268" t="s">
        <v>77</v>
      </c>
      <c r="D27" s="202" t="s">
        <v>77</v>
      </c>
      <c r="E27" s="140" t="s">
        <v>77</v>
      </c>
      <c r="F27" s="119" t="s">
        <v>77</v>
      </c>
      <c r="G27" s="119" t="s">
        <v>77</v>
      </c>
      <c r="H27" s="338" t="s">
        <v>77</v>
      </c>
      <c r="I27" s="268" t="s">
        <v>77</v>
      </c>
    </row>
    <row r="28" spans="1:18" ht="12" customHeight="1" x14ac:dyDescent="0.25">
      <c r="A28" s="111"/>
      <c r="B28" s="332" t="s">
        <v>64</v>
      </c>
      <c r="C28" s="268">
        <v>53800</v>
      </c>
      <c r="D28" s="202" t="s">
        <v>77</v>
      </c>
      <c r="E28" s="140">
        <v>2.77</v>
      </c>
      <c r="F28" s="119">
        <v>149000</v>
      </c>
      <c r="G28" s="119">
        <v>149000</v>
      </c>
      <c r="H28" s="338">
        <v>2240</v>
      </c>
      <c r="I28" s="268">
        <v>333760</v>
      </c>
    </row>
    <row r="29" spans="1:18" ht="12" customHeight="1" x14ac:dyDescent="0.25">
      <c r="A29" s="111"/>
      <c r="B29" s="333" t="s">
        <v>81</v>
      </c>
      <c r="C29" s="271">
        <v>51500</v>
      </c>
      <c r="D29" s="202" t="s">
        <v>77</v>
      </c>
      <c r="E29" s="203">
        <v>2.72</v>
      </c>
      <c r="F29" s="196">
        <v>140000</v>
      </c>
      <c r="G29" s="196">
        <v>140000</v>
      </c>
      <c r="H29" s="197">
        <v>2170</v>
      </c>
      <c r="I29" s="271">
        <v>303800</v>
      </c>
      <c r="J29" s="10"/>
    </row>
    <row r="30" spans="1:18" ht="12" customHeight="1" x14ac:dyDescent="0.25">
      <c r="A30" s="111"/>
      <c r="B30" s="333" t="s">
        <v>88</v>
      </c>
      <c r="C30" s="271">
        <v>52000</v>
      </c>
      <c r="D30" s="202" t="s">
        <v>77</v>
      </c>
      <c r="E30" s="203">
        <v>3.87</v>
      </c>
      <c r="F30" s="196">
        <v>201000</v>
      </c>
      <c r="G30" s="196">
        <v>201000</v>
      </c>
      <c r="H30" s="197">
        <v>2050</v>
      </c>
      <c r="I30" s="271">
        <v>412050</v>
      </c>
      <c r="J30" s="10"/>
    </row>
    <row r="31" spans="1:18" ht="12" customHeight="1" x14ac:dyDescent="0.25">
      <c r="A31" s="111"/>
      <c r="B31" s="333" t="s">
        <v>90</v>
      </c>
      <c r="C31" s="271">
        <v>50900</v>
      </c>
      <c r="D31" s="202" t="s">
        <v>77</v>
      </c>
      <c r="E31" s="203">
        <v>2.2200000000000002</v>
      </c>
      <c r="F31" s="196">
        <v>113000</v>
      </c>
      <c r="G31" s="196">
        <v>112000</v>
      </c>
      <c r="H31" s="197">
        <v>3140</v>
      </c>
      <c r="I31" s="271">
        <v>351240</v>
      </c>
      <c r="J31" s="10"/>
    </row>
    <row r="32" spans="1:18" ht="12" customHeight="1" x14ac:dyDescent="0.25">
      <c r="A32" s="111"/>
      <c r="B32" s="102" t="s">
        <v>94</v>
      </c>
      <c r="C32" s="271">
        <v>51500</v>
      </c>
      <c r="D32" s="202" t="s">
        <v>77</v>
      </c>
      <c r="E32" s="203">
        <v>3.3</v>
      </c>
      <c r="F32" s="196">
        <v>170000</v>
      </c>
      <c r="G32" s="196">
        <v>169000</v>
      </c>
      <c r="H32" s="197">
        <v>2260</v>
      </c>
      <c r="I32" s="271">
        <v>382460</v>
      </c>
      <c r="J32" s="10"/>
    </row>
    <row r="33" spans="1:18" ht="12" customHeight="1" x14ac:dyDescent="0.25">
      <c r="A33" s="111"/>
      <c r="B33" s="102" t="s">
        <v>138</v>
      </c>
      <c r="C33" s="271">
        <v>47000</v>
      </c>
      <c r="D33" s="202" t="s">
        <v>77</v>
      </c>
      <c r="E33" s="203">
        <v>3.64</v>
      </c>
      <c r="F33" s="196">
        <v>171000</v>
      </c>
      <c r="G33" s="196">
        <v>169100</v>
      </c>
      <c r="H33" s="197">
        <v>2270</v>
      </c>
      <c r="I33" s="271">
        <v>383485</v>
      </c>
      <c r="J33" s="46"/>
    </row>
    <row r="34" spans="1:18" ht="12" customHeight="1" x14ac:dyDescent="0.25">
      <c r="A34" s="101"/>
      <c r="B34" s="102" t="s">
        <v>142</v>
      </c>
      <c r="C34" s="271">
        <v>46100</v>
      </c>
      <c r="D34" s="202" t="s">
        <v>77</v>
      </c>
      <c r="E34" s="203">
        <v>2.36</v>
      </c>
      <c r="F34" s="196">
        <v>109000</v>
      </c>
      <c r="G34" s="196">
        <v>108430</v>
      </c>
      <c r="H34" s="197">
        <v>3440</v>
      </c>
      <c r="I34" s="271">
        <v>373185</v>
      </c>
      <c r="J34" s="10"/>
    </row>
    <row r="35" spans="1:18" ht="12" customHeight="1" x14ac:dyDescent="0.25">
      <c r="A35" s="101"/>
      <c r="B35" s="102" t="s">
        <v>148</v>
      </c>
      <c r="C35" s="271">
        <v>47300</v>
      </c>
      <c r="D35" s="202" t="s">
        <v>77</v>
      </c>
      <c r="E35" s="203">
        <v>3.98</v>
      </c>
      <c r="F35" s="196">
        <v>188500</v>
      </c>
      <c r="G35" s="196">
        <v>187940</v>
      </c>
      <c r="H35" s="197">
        <v>2190</v>
      </c>
      <c r="I35" s="271">
        <v>411720</v>
      </c>
      <c r="J35" s="471">
        <f t="shared" ref="J35:P35" si="2">(C35-C34)/C34</f>
        <v>2.6030368763557483E-2</v>
      </c>
      <c r="K35" s="404" t="e">
        <f t="shared" si="2"/>
        <v>#VALUE!</v>
      </c>
      <c r="L35" s="404">
        <f t="shared" si="2"/>
        <v>0.68644067796610175</v>
      </c>
      <c r="M35" s="471">
        <f t="shared" si="2"/>
        <v>0.72935779816513757</v>
      </c>
      <c r="N35" s="404">
        <f t="shared" si="2"/>
        <v>0.73328414645393336</v>
      </c>
      <c r="O35" s="404">
        <f t="shared" si="2"/>
        <v>-0.36337209302325579</v>
      </c>
      <c r="P35" s="404">
        <f t="shared" si="2"/>
        <v>0.10325977732223963</v>
      </c>
      <c r="Q35" s="10">
        <f>C35</f>
        <v>47300</v>
      </c>
      <c r="R35" s="10">
        <f>F35</f>
        <v>188500</v>
      </c>
    </row>
    <row r="36" spans="1:18" ht="12" customHeight="1" x14ac:dyDescent="0.2">
      <c r="B36" s="100"/>
      <c r="C36" s="335"/>
      <c r="D36" s="330"/>
      <c r="E36" s="330"/>
      <c r="F36" s="324"/>
      <c r="G36" s="330"/>
      <c r="H36" s="330"/>
      <c r="I36" s="335"/>
    </row>
    <row r="37" spans="1:18" ht="12" customHeight="1" x14ac:dyDescent="0.2">
      <c r="A37" s="110" t="s">
        <v>33</v>
      </c>
      <c r="B37" s="102">
        <v>2011</v>
      </c>
      <c r="C37" s="268">
        <v>30000</v>
      </c>
      <c r="D37" s="202" t="s">
        <v>77</v>
      </c>
      <c r="E37" s="140">
        <v>2.27</v>
      </c>
      <c r="F37" s="119">
        <v>68000</v>
      </c>
      <c r="G37" s="119">
        <v>66000</v>
      </c>
      <c r="H37" s="338">
        <v>2990</v>
      </c>
      <c r="I37" s="268">
        <v>197250</v>
      </c>
    </row>
    <row r="38" spans="1:18" ht="12" customHeight="1" x14ac:dyDescent="0.25">
      <c r="A38" s="101"/>
      <c r="B38" s="102">
        <v>2012</v>
      </c>
      <c r="C38" s="268">
        <v>31000</v>
      </c>
      <c r="D38" s="202" t="s">
        <v>77</v>
      </c>
      <c r="E38" s="140">
        <v>2.98</v>
      </c>
      <c r="F38" s="119">
        <v>92300</v>
      </c>
      <c r="G38" s="119">
        <v>89300</v>
      </c>
      <c r="H38" s="338">
        <v>2890</v>
      </c>
      <c r="I38" s="268">
        <v>257772</v>
      </c>
    </row>
    <row r="39" spans="1:18" ht="12" customHeight="1" x14ac:dyDescent="0.25">
      <c r="A39" s="101"/>
      <c r="B39" s="104">
        <v>2013</v>
      </c>
      <c r="C39" s="268">
        <v>33000</v>
      </c>
      <c r="D39" s="202" t="s">
        <v>77</v>
      </c>
      <c r="E39" s="140">
        <v>2.48</v>
      </c>
      <c r="F39" s="119">
        <v>82000</v>
      </c>
      <c r="G39" s="119">
        <v>78500</v>
      </c>
      <c r="H39" s="338">
        <v>3390</v>
      </c>
      <c r="I39" s="268">
        <v>265966</v>
      </c>
      <c r="J39" s="10"/>
    </row>
    <row r="40" spans="1:18" ht="12" customHeight="1" x14ac:dyDescent="0.25">
      <c r="A40" s="101"/>
      <c r="B40" s="104">
        <v>2014</v>
      </c>
      <c r="C40" s="268">
        <v>33000</v>
      </c>
      <c r="D40" s="202" t="s">
        <v>77</v>
      </c>
      <c r="E40" s="140">
        <v>1.01</v>
      </c>
      <c r="F40" s="119">
        <v>33200</v>
      </c>
      <c r="G40" s="119">
        <v>29200</v>
      </c>
      <c r="H40" s="338">
        <v>4840</v>
      </c>
      <c r="I40" s="268">
        <v>141281</v>
      </c>
      <c r="J40" s="10"/>
    </row>
    <row r="41" spans="1:18" ht="12" customHeight="1" x14ac:dyDescent="0.25">
      <c r="A41" s="101"/>
      <c r="B41" s="199">
        <v>2015</v>
      </c>
      <c r="C41" s="271">
        <v>33000</v>
      </c>
      <c r="D41" s="202" t="s">
        <v>77</v>
      </c>
      <c r="E41" s="203">
        <v>1.82</v>
      </c>
      <c r="F41" s="196">
        <v>60100</v>
      </c>
      <c r="G41" s="196">
        <v>59500</v>
      </c>
      <c r="H41" s="197">
        <v>3900</v>
      </c>
      <c r="I41" s="271">
        <v>232328</v>
      </c>
      <c r="J41" s="10"/>
    </row>
    <row r="42" spans="1:18" ht="12" customHeight="1" x14ac:dyDescent="0.25">
      <c r="A42" s="101"/>
      <c r="B42" s="199">
        <v>2016</v>
      </c>
      <c r="C42" s="271">
        <v>33000</v>
      </c>
      <c r="D42" s="202" t="s">
        <v>77</v>
      </c>
      <c r="E42" s="203">
        <v>1.67</v>
      </c>
      <c r="F42" s="196">
        <v>55000</v>
      </c>
      <c r="G42" s="196">
        <v>52500</v>
      </c>
      <c r="H42" s="197">
        <v>3510</v>
      </c>
      <c r="I42" s="271">
        <v>184490</v>
      </c>
      <c r="J42" s="10"/>
    </row>
    <row r="43" spans="1:18" ht="12" customHeight="1" x14ac:dyDescent="0.25">
      <c r="A43" s="101"/>
      <c r="B43" s="199">
        <v>2017</v>
      </c>
      <c r="C43" s="271">
        <v>33000</v>
      </c>
      <c r="D43" s="202" t="s">
        <v>77</v>
      </c>
      <c r="E43" s="203">
        <v>2.96</v>
      </c>
      <c r="F43" s="196">
        <v>97800</v>
      </c>
      <c r="G43" s="196">
        <v>95000</v>
      </c>
      <c r="H43" s="197">
        <v>3480</v>
      </c>
      <c r="I43" s="271">
        <v>330773</v>
      </c>
      <c r="J43" s="46"/>
    </row>
    <row r="44" spans="1:18" ht="12" customHeight="1" x14ac:dyDescent="0.25">
      <c r="A44" s="101"/>
      <c r="B44" s="104">
        <v>2018</v>
      </c>
      <c r="C44" s="271">
        <v>32000</v>
      </c>
      <c r="D44" s="202" t="s">
        <v>77</v>
      </c>
      <c r="E44" s="203">
        <v>1.4</v>
      </c>
      <c r="F44" s="196">
        <v>44800</v>
      </c>
      <c r="G44" s="196">
        <v>44170</v>
      </c>
      <c r="H44" s="197">
        <v>3180</v>
      </c>
      <c r="I44" s="271">
        <v>140395</v>
      </c>
      <c r="J44" s="46"/>
    </row>
    <row r="45" spans="1:18" ht="12" customHeight="1" x14ac:dyDescent="0.25">
      <c r="A45" s="101"/>
      <c r="B45" s="104">
        <v>2019</v>
      </c>
      <c r="C45" s="271">
        <v>33000</v>
      </c>
      <c r="D45" s="202" t="s">
        <v>77</v>
      </c>
      <c r="E45" s="203">
        <v>1.71</v>
      </c>
      <c r="F45" s="196">
        <v>56400</v>
      </c>
      <c r="G45" s="196">
        <v>52730</v>
      </c>
      <c r="H45" s="197">
        <v>3520</v>
      </c>
      <c r="I45" s="271">
        <v>185363</v>
      </c>
      <c r="J45" s="45"/>
      <c r="K45" s="46"/>
      <c r="M45" s="471"/>
      <c r="N45" s="404"/>
    </row>
    <row r="46" spans="1:18" ht="12" customHeight="1" x14ac:dyDescent="0.25">
      <c r="A46" s="101"/>
      <c r="B46" s="104">
        <v>2020</v>
      </c>
      <c r="C46" s="271">
        <v>33000</v>
      </c>
      <c r="D46" s="202" t="s">
        <v>77</v>
      </c>
      <c r="E46" s="203">
        <v>2.02</v>
      </c>
      <c r="F46" s="196">
        <v>66700</v>
      </c>
      <c r="G46" s="196">
        <v>63560</v>
      </c>
      <c r="H46" s="197">
        <v>3310</v>
      </c>
      <c r="I46" s="271">
        <v>210463</v>
      </c>
      <c r="J46" s="471">
        <f t="shared" ref="J46:P46" si="3">(C46-C45)/C45</f>
        <v>0</v>
      </c>
      <c r="K46" s="404" t="e">
        <f t="shared" si="3"/>
        <v>#VALUE!</v>
      </c>
      <c r="L46" s="404">
        <f t="shared" si="3"/>
        <v>0.18128654970760238</v>
      </c>
      <c r="M46" s="471">
        <f>(F46-F45)/F45</f>
        <v>0.18262411347517732</v>
      </c>
      <c r="N46" s="404">
        <f>(G46-G45)/G45</f>
        <v>0.20538592831405272</v>
      </c>
      <c r="O46" s="404">
        <f t="shared" si="3"/>
        <v>-5.9659090909090912E-2</v>
      </c>
      <c r="P46" s="404">
        <f t="shared" si="3"/>
        <v>0.1354099793378398</v>
      </c>
      <c r="Q46" s="10">
        <f>C46</f>
        <v>33000</v>
      </c>
      <c r="R46" s="10">
        <f>F46</f>
        <v>66700</v>
      </c>
    </row>
    <row r="47" spans="1:18" ht="12" customHeight="1" x14ac:dyDescent="0.2">
      <c r="B47" s="102"/>
      <c r="C47" s="268"/>
      <c r="D47" s="202"/>
      <c r="E47" s="140"/>
      <c r="F47" s="119"/>
      <c r="G47" s="119"/>
      <c r="H47" s="338"/>
      <c r="I47" s="268"/>
    </row>
    <row r="48" spans="1:18" ht="12" customHeight="1" x14ac:dyDescent="0.2">
      <c r="A48" s="110" t="s">
        <v>34</v>
      </c>
      <c r="B48" s="102">
        <v>2011</v>
      </c>
      <c r="C48" s="268">
        <v>8400</v>
      </c>
      <c r="D48" s="202" t="s">
        <v>77</v>
      </c>
      <c r="E48" s="140">
        <v>3.96</v>
      </c>
      <c r="F48" s="119">
        <v>33300</v>
      </c>
      <c r="G48" s="119">
        <v>33300</v>
      </c>
      <c r="H48" s="338">
        <v>1320</v>
      </c>
      <c r="I48" s="268">
        <v>43956</v>
      </c>
    </row>
    <row r="49" spans="1:18" ht="12" customHeight="1" x14ac:dyDescent="0.25">
      <c r="A49" s="101"/>
      <c r="B49" s="102">
        <v>2012</v>
      </c>
      <c r="C49" s="268">
        <v>8800</v>
      </c>
      <c r="D49" s="202" t="s">
        <v>77</v>
      </c>
      <c r="E49" s="140">
        <v>3.53</v>
      </c>
      <c r="F49" s="119">
        <v>31100</v>
      </c>
      <c r="G49" s="119">
        <v>31100</v>
      </c>
      <c r="H49" s="338">
        <v>1340</v>
      </c>
      <c r="I49" s="268">
        <v>41674</v>
      </c>
    </row>
    <row r="50" spans="1:18" ht="12" customHeight="1" x14ac:dyDescent="0.25">
      <c r="A50" s="101"/>
      <c r="B50" s="104">
        <v>2013</v>
      </c>
      <c r="C50" s="336">
        <v>8200</v>
      </c>
      <c r="D50" s="325" t="s">
        <v>77</v>
      </c>
      <c r="E50" s="339">
        <v>3.72</v>
      </c>
      <c r="F50" s="324">
        <v>30500</v>
      </c>
      <c r="G50" s="324">
        <v>30500</v>
      </c>
      <c r="H50" s="340">
        <v>1220</v>
      </c>
      <c r="I50" s="336">
        <v>37210</v>
      </c>
      <c r="J50" s="10"/>
    </row>
    <row r="51" spans="1:18" ht="12" customHeight="1" x14ac:dyDescent="0.25">
      <c r="A51" s="101"/>
      <c r="B51" s="104">
        <v>2014</v>
      </c>
      <c r="C51" s="336">
        <v>10000</v>
      </c>
      <c r="D51" s="325" t="s">
        <v>77</v>
      </c>
      <c r="E51" s="339">
        <v>3.34</v>
      </c>
      <c r="F51" s="324">
        <v>33400</v>
      </c>
      <c r="G51" s="324">
        <v>33400</v>
      </c>
      <c r="H51" s="340">
        <v>1510</v>
      </c>
      <c r="I51" s="336">
        <v>50434</v>
      </c>
      <c r="J51" s="10"/>
    </row>
    <row r="52" spans="1:18" ht="12" customHeight="1" x14ac:dyDescent="0.25">
      <c r="A52" s="101"/>
      <c r="B52" s="199">
        <v>2015</v>
      </c>
      <c r="C52" s="328">
        <v>10200</v>
      </c>
      <c r="D52" s="325" t="s">
        <v>77</v>
      </c>
      <c r="E52" s="201">
        <v>3.82</v>
      </c>
      <c r="F52" s="325">
        <v>39000</v>
      </c>
      <c r="G52" s="325">
        <v>39000</v>
      </c>
      <c r="H52" s="327">
        <v>1560</v>
      </c>
      <c r="I52" s="328">
        <v>60840</v>
      </c>
      <c r="J52" s="10"/>
    </row>
    <row r="53" spans="1:18" ht="12" customHeight="1" x14ac:dyDescent="0.25">
      <c r="A53" s="101"/>
      <c r="B53" s="199">
        <v>2016</v>
      </c>
      <c r="C53" s="328">
        <v>10100</v>
      </c>
      <c r="D53" s="325" t="s">
        <v>77</v>
      </c>
      <c r="E53" s="201">
        <v>3.01</v>
      </c>
      <c r="F53" s="325">
        <v>30400</v>
      </c>
      <c r="G53" s="325">
        <v>30200</v>
      </c>
      <c r="H53" s="327">
        <v>1790</v>
      </c>
      <c r="I53" s="328">
        <v>54058</v>
      </c>
      <c r="J53" s="10"/>
    </row>
    <row r="54" spans="1:18" ht="12" customHeight="1" x14ac:dyDescent="0.25">
      <c r="A54" s="101"/>
      <c r="B54" s="104">
        <v>2017</v>
      </c>
      <c r="C54" s="328">
        <v>9900</v>
      </c>
      <c r="D54" s="200" t="s">
        <v>95</v>
      </c>
      <c r="E54" s="200">
        <v>3.54</v>
      </c>
      <c r="F54" s="325">
        <v>35000</v>
      </c>
      <c r="G54" s="325">
        <v>34750</v>
      </c>
      <c r="H54" s="327">
        <v>2840</v>
      </c>
      <c r="I54" s="328">
        <v>98824</v>
      </c>
      <c r="J54" s="263"/>
    </row>
    <row r="55" spans="1:18" ht="12" customHeight="1" x14ac:dyDescent="0.2">
      <c r="B55" s="199">
        <v>2018</v>
      </c>
      <c r="C55" s="328">
        <v>11500</v>
      </c>
      <c r="D55" s="325" t="s">
        <v>77</v>
      </c>
      <c r="E55" s="201">
        <v>2.61</v>
      </c>
      <c r="F55" s="325">
        <v>30000</v>
      </c>
      <c r="G55" s="325">
        <v>29100</v>
      </c>
      <c r="H55" s="327">
        <v>2960</v>
      </c>
      <c r="I55" s="328">
        <v>86109</v>
      </c>
      <c r="J55" s="46"/>
      <c r="K55" s="46"/>
    </row>
    <row r="56" spans="1:18" s="14" customFormat="1" ht="12" customHeight="1" x14ac:dyDescent="0.2">
      <c r="A56" s="112"/>
      <c r="B56" s="199">
        <v>2019</v>
      </c>
      <c r="C56" s="328">
        <v>11500</v>
      </c>
      <c r="D56" s="325" t="s">
        <v>77</v>
      </c>
      <c r="E56" s="201">
        <v>4.2</v>
      </c>
      <c r="F56" s="325">
        <v>48300</v>
      </c>
      <c r="G56" s="325">
        <v>48160</v>
      </c>
      <c r="H56" s="327">
        <v>2860</v>
      </c>
      <c r="I56" s="328">
        <v>137499</v>
      </c>
      <c r="K56" s="302"/>
      <c r="M56" s="471"/>
      <c r="N56" s="404"/>
    </row>
    <row r="57" spans="1:18" s="42" customFormat="1" ht="11.25" x14ac:dyDescent="0.2">
      <c r="A57" s="122"/>
      <c r="B57" s="297">
        <v>2020</v>
      </c>
      <c r="C57" s="408">
        <v>12500</v>
      </c>
      <c r="D57" s="326" t="s">
        <v>77</v>
      </c>
      <c r="E57" s="409">
        <v>3.94</v>
      </c>
      <c r="F57" s="326">
        <v>49300</v>
      </c>
      <c r="G57" s="326">
        <v>49000</v>
      </c>
      <c r="H57" s="410">
        <v>2320</v>
      </c>
      <c r="I57" s="408">
        <v>113770</v>
      </c>
      <c r="J57" s="471">
        <f t="shared" ref="J57:P57" si="4">(C57-C56)/C56</f>
        <v>8.6956521739130432E-2</v>
      </c>
      <c r="K57" s="404" t="e">
        <f t="shared" si="4"/>
        <v>#VALUE!</v>
      </c>
      <c r="L57" s="404">
        <f t="shared" si="4"/>
        <v>-6.1904761904761955E-2</v>
      </c>
      <c r="M57" s="471">
        <f t="shared" si="4"/>
        <v>2.0703933747412008E-2</v>
      </c>
      <c r="N57" s="404">
        <f t="shared" si="4"/>
        <v>1.7441860465116279E-2</v>
      </c>
      <c r="O57" s="404">
        <f t="shared" si="4"/>
        <v>-0.1888111888111888</v>
      </c>
      <c r="P57" s="404">
        <f t="shared" si="4"/>
        <v>-0.17257580055127675</v>
      </c>
      <c r="Q57" s="27">
        <f>C57</f>
        <v>12500</v>
      </c>
      <c r="R57" s="27">
        <f>F57</f>
        <v>49300</v>
      </c>
    </row>
    <row r="58" spans="1:18" s="14" customFormat="1" ht="3.75" customHeight="1" x14ac:dyDescent="0.2">
      <c r="A58" s="42"/>
      <c r="B58" s="459"/>
      <c r="C58" s="358"/>
      <c r="D58" s="341"/>
      <c r="E58" s="460"/>
      <c r="F58" s="461"/>
      <c r="G58" s="461"/>
      <c r="H58" s="462"/>
      <c r="I58" s="358"/>
      <c r="M58" s="472"/>
    </row>
    <row r="59" spans="1:18" s="14" customFormat="1" ht="12" customHeight="1" x14ac:dyDescent="0.2">
      <c r="A59" s="110" t="s">
        <v>167</v>
      </c>
      <c r="B59" s="459">
        <v>2011</v>
      </c>
      <c r="C59" s="358">
        <v>7900</v>
      </c>
      <c r="D59" s="341" t="s">
        <v>77</v>
      </c>
      <c r="E59" s="460">
        <v>4.8899999999999997</v>
      </c>
      <c r="F59" s="461">
        <v>38660</v>
      </c>
      <c r="G59" s="461">
        <v>38660</v>
      </c>
      <c r="H59" s="462">
        <v>526</v>
      </c>
      <c r="I59" s="358">
        <v>20336</v>
      </c>
      <c r="J59" s="27"/>
      <c r="M59" s="472"/>
    </row>
    <row r="60" spans="1:18" s="14" customFormat="1" ht="12" customHeight="1" x14ac:dyDescent="0.25">
      <c r="A60" s="101"/>
      <c r="B60" s="102">
        <v>2012</v>
      </c>
      <c r="C60" s="268">
        <v>7400</v>
      </c>
      <c r="D60" s="202" t="s">
        <v>77</v>
      </c>
      <c r="E60" s="140">
        <v>4.76</v>
      </c>
      <c r="F60" s="119">
        <v>35200</v>
      </c>
      <c r="G60" s="119">
        <v>35200</v>
      </c>
      <c r="H60" s="338">
        <v>555</v>
      </c>
      <c r="I60" s="268">
        <v>19520</v>
      </c>
      <c r="J60" s="27"/>
      <c r="M60" s="472"/>
    </row>
    <row r="61" spans="1:18" s="14" customFormat="1" ht="12" customHeight="1" x14ac:dyDescent="0.25">
      <c r="A61" s="101"/>
      <c r="B61" s="104">
        <v>2013</v>
      </c>
      <c r="C61" s="268">
        <v>7000</v>
      </c>
      <c r="D61" s="202" t="s">
        <v>77</v>
      </c>
      <c r="E61" s="140">
        <v>4.71</v>
      </c>
      <c r="F61" s="119">
        <v>33000</v>
      </c>
      <c r="G61" s="119">
        <v>33000</v>
      </c>
      <c r="H61" s="338">
        <v>610</v>
      </c>
      <c r="I61" s="268">
        <v>20143</v>
      </c>
      <c r="J61" s="27"/>
      <c r="M61" s="472"/>
    </row>
    <row r="62" spans="1:18" s="14" customFormat="1" ht="12" customHeight="1" x14ac:dyDescent="0.25">
      <c r="A62" s="101"/>
      <c r="B62" s="104">
        <v>2014</v>
      </c>
      <c r="C62" s="268">
        <v>6300</v>
      </c>
      <c r="D62" s="202" t="s">
        <v>77</v>
      </c>
      <c r="E62" s="140">
        <v>5.3</v>
      </c>
      <c r="F62" s="119">
        <v>33400</v>
      </c>
      <c r="G62" s="119">
        <v>33400</v>
      </c>
      <c r="H62" s="338">
        <v>719</v>
      </c>
      <c r="I62" s="268">
        <v>23998</v>
      </c>
      <c r="J62" s="27"/>
      <c r="M62" s="472"/>
    </row>
    <row r="63" spans="1:18" s="14" customFormat="1" ht="12" customHeight="1" x14ac:dyDescent="0.25">
      <c r="A63" s="101"/>
      <c r="B63" s="199">
        <v>2015</v>
      </c>
      <c r="C63" s="271">
        <v>6400</v>
      </c>
      <c r="D63" s="202" t="s">
        <v>77</v>
      </c>
      <c r="E63" s="203">
        <v>4.95</v>
      </c>
      <c r="F63" s="196">
        <v>31700</v>
      </c>
      <c r="G63" s="196">
        <v>31700</v>
      </c>
      <c r="H63" s="197">
        <v>799</v>
      </c>
      <c r="I63" s="271">
        <v>25333</v>
      </c>
      <c r="J63" s="27"/>
      <c r="M63" s="472"/>
    </row>
    <row r="64" spans="1:18" s="42" customFormat="1" ht="12" customHeight="1" x14ac:dyDescent="0.25">
      <c r="A64" s="101"/>
      <c r="B64" s="199">
        <v>2016</v>
      </c>
      <c r="C64" s="271">
        <v>6500</v>
      </c>
      <c r="D64" s="202" t="s">
        <v>77</v>
      </c>
      <c r="E64" s="203">
        <v>5.03</v>
      </c>
      <c r="F64" s="196">
        <v>32700</v>
      </c>
      <c r="G64" s="196">
        <v>32700</v>
      </c>
      <c r="H64" s="197">
        <v>911</v>
      </c>
      <c r="I64" s="271">
        <v>29779</v>
      </c>
      <c r="J64" s="27"/>
      <c r="M64" s="472"/>
    </row>
    <row r="65" spans="1:17" s="14" customFormat="1" ht="12" customHeight="1" x14ac:dyDescent="0.25">
      <c r="A65" s="101"/>
      <c r="B65" s="199">
        <v>2017</v>
      </c>
      <c r="C65" s="271">
        <v>6700</v>
      </c>
      <c r="D65" s="202" t="s">
        <v>77</v>
      </c>
      <c r="E65" s="203">
        <v>4.66</v>
      </c>
      <c r="F65" s="196">
        <v>31200</v>
      </c>
      <c r="G65" s="196">
        <v>31200</v>
      </c>
      <c r="H65" s="197">
        <v>916</v>
      </c>
      <c r="I65" s="271">
        <v>28568</v>
      </c>
      <c r="J65" s="46"/>
      <c r="M65" s="472"/>
    </row>
    <row r="66" spans="1:17" s="14" customFormat="1" ht="12" customHeight="1" x14ac:dyDescent="0.25">
      <c r="A66" s="101"/>
      <c r="B66" s="102">
        <v>2018</v>
      </c>
      <c r="C66" s="272" t="s">
        <v>77</v>
      </c>
      <c r="D66" s="202" t="s">
        <v>77</v>
      </c>
      <c r="E66" s="203" t="s">
        <v>77</v>
      </c>
      <c r="F66" s="196" t="s">
        <v>77</v>
      </c>
      <c r="G66" s="196" t="s">
        <v>77</v>
      </c>
      <c r="H66" s="197" t="s">
        <v>77</v>
      </c>
      <c r="I66" s="272" t="s">
        <v>77</v>
      </c>
      <c r="M66" s="472"/>
    </row>
    <row r="67" spans="1:17" s="14" customFormat="1" ht="12" customHeight="1" x14ac:dyDescent="0.25">
      <c r="A67" s="101"/>
      <c r="B67" s="102">
        <v>2019</v>
      </c>
      <c r="C67" s="272" t="s">
        <v>77</v>
      </c>
      <c r="D67" s="202" t="s">
        <v>77</v>
      </c>
      <c r="E67" s="203" t="s">
        <v>77</v>
      </c>
      <c r="F67" s="196" t="s">
        <v>77</v>
      </c>
      <c r="G67" s="196" t="s">
        <v>77</v>
      </c>
      <c r="H67" s="197" t="s">
        <v>77</v>
      </c>
      <c r="I67" s="272" t="s">
        <v>77</v>
      </c>
      <c r="M67" s="472"/>
    </row>
    <row r="68" spans="1:17" s="42" customFormat="1" ht="12" customHeight="1" x14ac:dyDescent="0.25">
      <c r="A68" s="101"/>
      <c r="B68" s="102">
        <v>2020</v>
      </c>
      <c r="C68" s="272" t="s">
        <v>77</v>
      </c>
      <c r="D68" s="202" t="s">
        <v>77</v>
      </c>
      <c r="E68" s="203" t="s">
        <v>77</v>
      </c>
      <c r="F68" s="196" t="s">
        <v>77</v>
      </c>
      <c r="G68" s="196" t="s">
        <v>77</v>
      </c>
      <c r="H68" s="197" t="s">
        <v>77</v>
      </c>
      <c r="I68" s="272" t="s">
        <v>77</v>
      </c>
      <c r="M68" s="472"/>
    </row>
    <row r="69" spans="1:17" s="14" customFormat="1" ht="12" customHeight="1" x14ac:dyDescent="0.2">
      <c r="A69" s="42"/>
      <c r="B69" s="102"/>
      <c r="C69" s="268"/>
      <c r="D69" s="119"/>
      <c r="E69" s="140"/>
      <c r="F69" s="119"/>
      <c r="G69" s="119"/>
      <c r="H69" s="340"/>
      <c r="I69" s="268"/>
      <c r="M69" s="472"/>
    </row>
    <row r="70" spans="1:17" s="14" customFormat="1" ht="12" customHeight="1" x14ac:dyDescent="0.2">
      <c r="A70" s="110" t="s">
        <v>165</v>
      </c>
      <c r="B70" s="102">
        <v>2011</v>
      </c>
      <c r="C70" s="268">
        <v>205000</v>
      </c>
      <c r="D70" s="119">
        <v>4000</v>
      </c>
      <c r="E70" s="140">
        <v>11</v>
      </c>
      <c r="F70" s="119">
        <v>2263000</v>
      </c>
      <c r="G70" s="119">
        <v>2263000</v>
      </c>
      <c r="H70" s="340">
        <v>382</v>
      </c>
      <c r="I70" s="268">
        <v>863716</v>
      </c>
      <c r="J70" s="27"/>
      <c r="M70" s="472"/>
    </row>
    <row r="71" spans="1:17" s="14" customFormat="1" ht="12" customHeight="1" x14ac:dyDescent="0.25">
      <c r="A71" s="101"/>
      <c r="B71" s="102">
        <v>2012</v>
      </c>
      <c r="C71" s="268">
        <v>200000</v>
      </c>
      <c r="D71" s="119">
        <v>3000</v>
      </c>
      <c r="E71" s="140">
        <v>9.0500000000000007</v>
      </c>
      <c r="F71" s="119">
        <v>1810000</v>
      </c>
      <c r="G71" s="119">
        <v>1810000</v>
      </c>
      <c r="H71" s="340">
        <v>457</v>
      </c>
      <c r="I71" s="268">
        <v>826326</v>
      </c>
      <c r="J71" s="27"/>
      <c r="M71" s="472"/>
    </row>
    <row r="72" spans="1:17" s="14" customFormat="1" ht="12" customHeight="1" x14ac:dyDescent="0.25">
      <c r="A72" s="101"/>
      <c r="B72" s="104">
        <v>2013</v>
      </c>
      <c r="C72" s="268">
        <v>200000</v>
      </c>
      <c r="D72" s="119">
        <v>3000</v>
      </c>
      <c r="E72" s="140">
        <v>11.4</v>
      </c>
      <c r="F72" s="119">
        <v>2270000</v>
      </c>
      <c r="G72" s="119">
        <v>2270000</v>
      </c>
      <c r="H72" s="340">
        <v>364</v>
      </c>
      <c r="I72" s="268">
        <v>826921</v>
      </c>
      <c r="J72" s="27"/>
      <c r="M72" s="472"/>
    </row>
    <row r="73" spans="1:17" s="14" customFormat="1" ht="12" customHeight="1" x14ac:dyDescent="0.25">
      <c r="A73" s="101"/>
      <c r="B73" s="104">
        <v>2014</v>
      </c>
      <c r="C73" s="268">
        <v>190000</v>
      </c>
      <c r="D73" s="119">
        <v>2000</v>
      </c>
      <c r="E73" s="140">
        <v>9.86</v>
      </c>
      <c r="F73" s="119">
        <v>1874000</v>
      </c>
      <c r="G73" s="119">
        <v>1874000</v>
      </c>
      <c r="H73" s="340">
        <v>381</v>
      </c>
      <c r="I73" s="268">
        <v>713432</v>
      </c>
      <c r="J73" s="27"/>
      <c r="M73" s="472"/>
    </row>
    <row r="74" spans="1:17" s="14" customFormat="1" ht="12" customHeight="1" x14ac:dyDescent="0.25">
      <c r="A74" s="101"/>
      <c r="B74" s="199">
        <v>2015</v>
      </c>
      <c r="C74" s="271">
        <v>184000</v>
      </c>
      <c r="D74" s="196">
        <v>2000</v>
      </c>
      <c r="E74" s="203">
        <v>10.6</v>
      </c>
      <c r="F74" s="196">
        <v>1952000</v>
      </c>
      <c r="G74" s="196">
        <v>1952000</v>
      </c>
      <c r="H74" s="327">
        <v>349</v>
      </c>
      <c r="I74" s="271">
        <v>681963</v>
      </c>
      <c r="J74" s="27"/>
      <c r="M74" s="472"/>
    </row>
    <row r="75" spans="1:17" s="42" customFormat="1" ht="12" customHeight="1" x14ac:dyDescent="0.25">
      <c r="A75" s="101"/>
      <c r="B75" s="199">
        <v>2016</v>
      </c>
      <c r="C75" s="271">
        <v>170000</v>
      </c>
      <c r="D75" s="196">
        <v>2000</v>
      </c>
      <c r="E75" s="203">
        <v>9.24</v>
      </c>
      <c r="F75" s="196">
        <v>1570000</v>
      </c>
      <c r="G75" s="196">
        <v>1570000</v>
      </c>
      <c r="H75" s="327">
        <v>277</v>
      </c>
      <c r="I75" s="271">
        <v>435009</v>
      </c>
      <c r="J75" s="27"/>
      <c r="M75" s="472"/>
    </row>
    <row r="76" spans="1:17" s="14" customFormat="1" ht="12" customHeight="1" x14ac:dyDescent="0.25">
      <c r="A76" s="101"/>
      <c r="B76" s="199">
        <v>2017</v>
      </c>
      <c r="C76" s="271">
        <v>158000</v>
      </c>
      <c r="D76" s="196">
        <v>2000</v>
      </c>
      <c r="E76" s="203">
        <v>8.23</v>
      </c>
      <c r="F76" s="196">
        <v>1301000</v>
      </c>
      <c r="G76" s="196">
        <v>1301000</v>
      </c>
      <c r="H76" s="327">
        <v>414</v>
      </c>
      <c r="I76" s="271">
        <v>538092</v>
      </c>
      <c r="J76" s="263"/>
      <c r="M76" s="472"/>
    </row>
    <row r="77" spans="1:17" s="14" customFormat="1" ht="12" customHeight="1" x14ac:dyDescent="0.25">
      <c r="A77" s="101"/>
      <c r="B77" s="102">
        <v>2018</v>
      </c>
      <c r="C77" s="271">
        <v>152000</v>
      </c>
      <c r="D77" s="196">
        <v>4000</v>
      </c>
      <c r="E77" s="203">
        <v>10.16</v>
      </c>
      <c r="F77" s="196">
        <v>1545000</v>
      </c>
      <c r="G77" s="196">
        <v>1545000</v>
      </c>
      <c r="H77" s="327">
        <v>428</v>
      </c>
      <c r="I77" s="271">
        <v>661063</v>
      </c>
      <c r="M77" s="472"/>
    </row>
    <row r="78" spans="1:17" s="14" customFormat="1" ht="12" customHeight="1" x14ac:dyDescent="0.25">
      <c r="A78" s="101"/>
      <c r="B78" s="102">
        <v>2019</v>
      </c>
      <c r="C78" s="271">
        <v>149000</v>
      </c>
      <c r="D78" s="196">
        <v>4000</v>
      </c>
      <c r="E78" s="203">
        <v>9.26</v>
      </c>
      <c r="F78" s="196">
        <v>1380000</v>
      </c>
      <c r="G78" s="196">
        <v>1380000</v>
      </c>
      <c r="H78" s="327">
        <v>266</v>
      </c>
      <c r="I78" s="271">
        <v>366609</v>
      </c>
      <c r="K78" s="302"/>
      <c r="M78" s="472"/>
    </row>
    <row r="79" spans="1:17" s="42" customFormat="1" ht="12" customHeight="1" x14ac:dyDescent="0.25">
      <c r="A79" s="101"/>
      <c r="B79" s="102">
        <v>2020</v>
      </c>
      <c r="C79" s="271">
        <v>142000</v>
      </c>
      <c r="D79" s="196">
        <v>3000</v>
      </c>
      <c r="E79" s="203">
        <v>7.68</v>
      </c>
      <c r="F79" s="196">
        <v>1090000</v>
      </c>
      <c r="G79" s="196">
        <v>1090000</v>
      </c>
      <c r="H79" s="327">
        <v>276</v>
      </c>
      <c r="I79" s="271">
        <v>300532</v>
      </c>
      <c r="J79" s="471">
        <f t="shared" ref="J79:P79" si="5">(C79-C78)/C78</f>
        <v>-4.6979865771812082E-2</v>
      </c>
      <c r="K79" s="404">
        <f t="shared" si="5"/>
        <v>-0.25</v>
      </c>
      <c r="L79" s="404">
        <f t="shared" si="5"/>
        <v>-0.17062634989200864</v>
      </c>
      <c r="M79" s="471">
        <f t="shared" si="5"/>
        <v>-0.21014492753623187</v>
      </c>
      <c r="N79" s="404">
        <f t="shared" si="5"/>
        <v>-0.21014492753623187</v>
      </c>
      <c r="O79" s="404">
        <f t="shared" si="5"/>
        <v>3.7593984962406013E-2</v>
      </c>
      <c r="P79" s="404">
        <f t="shared" si="5"/>
        <v>-0.18023834657632518</v>
      </c>
      <c r="Q79" s="27"/>
    </row>
    <row r="80" spans="1:17" s="14" customFormat="1" ht="12" customHeight="1" x14ac:dyDescent="0.2">
      <c r="A80" s="42"/>
      <c r="B80" s="102"/>
      <c r="C80" s="271"/>
      <c r="D80" s="196"/>
      <c r="E80" s="203"/>
      <c r="F80" s="196"/>
      <c r="G80" s="119"/>
      <c r="H80" s="340"/>
      <c r="I80" s="268"/>
      <c r="J80" s="42"/>
      <c r="M80" s="472"/>
    </row>
    <row r="81" spans="1:17" s="14" customFormat="1" ht="12" customHeight="1" x14ac:dyDescent="0.2">
      <c r="A81" s="110" t="s">
        <v>166</v>
      </c>
      <c r="B81" s="102">
        <v>2011</v>
      </c>
      <c r="C81" s="268">
        <v>100000</v>
      </c>
      <c r="D81" s="196">
        <v>11000</v>
      </c>
      <c r="E81" s="203">
        <v>10.3</v>
      </c>
      <c r="F81" s="196">
        <v>1032000</v>
      </c>
      <c r="G81" s="119">
        <v>1032000</v>
      </c>
      <c r="H81" s="340">
        <v>809</v>
      </c>
      <c r="I81" s="268">
        <v>834967</v>
      </c>
      <c r="J81" s="27"/>
      <c r="M81" s="472"/>
    </row>
    <row r="82" spans="1:17" s="14" customFormat="1" ht="12" customHeight="1" x14ac:dyDescent="0.25">
      <c r="A82" s="101"/>
      <c r="B82" s="102">
        <v>2012</v>
      </c>
      <c r="C82" s="268">
        <v>105000</v>
      </c>
      <c r="D82" s="196">
        <v>13000</v>
      </c>
      <c r="E82" s="203">
        <v>9.75</v>
      </c>
      <c r="F82" s="196">
        <v>1024000</v>
      </c>
      <c r="G82" s="119">
        <v>1024000</v>
      </c>
      <c r="H82" s="340">
        <v>1220</v>
      </c>
      <c r="I82" s="268">
        <v>1250728</v>
      </c>
      <c r="J82" s="27"/>
      <c r="M82" s="472"/>
    </row>
    <row r="83" spans="1:17" s="14" customFormat="1" ht="12" customHeight="1" x14ac:dyDescent="0.25">
      <c r="A83" s="101"/>
      <c r="B83" s="104">
        <v>2013</v>
      </c>
      <c r="C83" s="268">
        <v>110000</v>
      </c>
      <c r="D83" s="196">
        <v>10000</v>
      </c>
      <c r="E83" s="203">
        <v>11.2</v>
      </c>
      <c r="F83" s="196">
        <v>1227000</v>
      </c>
      <c r="G83" s="119">
        <v>1227000</v>
      </c>
      <c r="H83" s="340">
        <v>1260</v>
      </c>
      <c r="I83" s="268">
        <v>1542328</v>
      </c>
      <c r="J83" s="27"/>
      <c r="M83" s="472"/>
    </row>
    <row r="84" spans="1:17" s="14" customFormat="1" ht="12" customHeight="1" x14ac:dyDescent="0.25">
      <c r="A84" s="101"/>
      <c r="B84" s="104">
        <v>2014</v>
      </c>
      <c r="C84" s="268">
        <v>110000</v>
      </c>
      <c r="D84" s="196">
        <v>11000</v>
      </c>
      <c r="E84" s="203">
        <v>10.6</v>
      </c>
      <c r="F84" s="196">
        <v>1165000</v>
      </c>
      <c r="G84" s="119">
        <v>1165000</v>
      </c>
      <c r="H84" s="340">
        <v>1350</v>
      </c>
      <c r="I84" s="268">
        <v>1569956</v>
      </c>
      <c r="J84" s="27"/>
      <c r="M84" s="472"/>
    </row>
    <row r="85" spans="1:17" s="14" customFormat="1" ht="12" customHeight="1" x14ac:dyDescent="0.25">
      <c r="A85" s="101"/>
      <c r="B85" s="199">
        <v>2015</v>
      </c>
      <c r="C85" s="271">
        <v>112000</v>
      </c>
      <c r="D85" s="196">
        <v>12000</v>
      </c>
      <c r="E85" s="203">
        <v>10.1</v>
      </c>
      <c r="F85" s="196">
        <v>1135000</v>
      </c>
      <c r="G85" s="196">
        <v>1135000</v>
      </c>
      <c r="H85" s="327">
        <v>1530</v>
      </c>
      <c r="I85" s="271">
        <v>1734735</v>
      </c>
      <c r="J85" s="27"/>
      <c r="M85" s="472"/>
    </row>
    <row r="86" spans="1:17" s="14" customFormat="1" ht="12" customHeight="1" x14ac:dyDescent="0.25">
      <c r="A86" s="101"/>
      <c r="B86" s="199">
        <v>2016</v>
      </c>
      <c r="C86" s="271">
        <v>111000</v>
      </c>
      <c r="D86" s="196">
        <v>12000</v>
      </c>
      <c r="E86" s="203">
        <v>10.4</v>
      </c>
      <c r="F86" s="196">
        <v>1150000</v>
      </c>
      <c r="G86" s="196">
        <v>1150000</v>
      </c>
      <c r="H86" s="327">
        <v>1340</v>
      </c>
      <c r="I86" s="271">
        <v>1536873</v>
      </c>
      <c r="J86" s="27"/>
      <c r="M86" s="472"/>
    </row>
    <row r="87" spans="1:17" s="14" customFormat="1" ht="12" customHeight="1" x14ac:dyDescent="0.25">
      <c r="A87" s="101"/>
      <c r="B87" s="199">
        <v>2017</v>
      </c>
      <c r="C87" s="271">
        <v>111000</v>
      </c>
      <c r="D87" s="196">
        <v>10000</v>
      </c>
      <c r="E87" s="203">
        <v>10.7</v>
      </c>
      <c r="F87" s="196">
        <v>1190000</v>
      </c>
      <c r="G87" s="196">
        <v>1190000</v>
      </c>
      <c r="H87" s="327">
        <v>1330</v>
      </c>
      <c r="I87" s="271">
        <v>1587042</v>
      </c>
      <c r="J87" s="46"/>
      <c r="M87" s="472"/>
    </row>
    <row r="88" spans="1:17" s="14" customFormat="1" ht="12" customHeight="1" x14ac:dyDescent="0.25">
      <c r="A88" s="101"/>
      <c r="B88" s="102">
        <v>2018</v>
      </c>
      <c r="C88" s="271">
        <v>121000</v>
      </c>
      <c r="D88" s="196">
        <v>11000</v>
      </c>
      <c r="E88" s="203">
        <v>10.74</v>
      </c>
      <c r="F88" s="196">
        <v>1300000</v>
      </c>
      <c r="G88" s="196">
        <v>1300000</v>
      </c>
      <c r="H88" s="327">
        <v>978</v>
      </c>
      <c r="I88" s="271">
        <v>1271435</v>
      </c>
      <c r="M88" s="472"/>
    </row>
    <row r="89" spans="1:17" s="14" customFormat="1" ht="12" customHeight="1" x14ac:dyDescent="0.25">
      <c r="A89" s="101"/>
      <c r="B89" s="102">
        <v>2019</v>
      </c>
      <c r="C89" s="271">
        <v>121000</v>
      </c>
      <c r="D89" s="196">
        <v>9000</v>
      </c>
      <c r="E89" s="203">
        <v>9.83</v>
      </c>
      <c r="F89" s="196">
        <v>1190000</v>
      </c>
      <c r="G89" s="196">
        <v>1190000</v>
      </c>
      <c r="H89" s="327">
        <v>1030</v>
      </c>
      <c r="I89" s="271">
        <v>1221315</v>
      </c>
      <c r="K89" s="302"/>
      <c r="M89" s="472"/>
    </row>
    <row r="90" spans="1:17" s="42" customFormat="1" ht="12" customHeight="1" x14ac:dyDescent="0.25">
      <c r="A90" s="101"/>
      <c r="B90" s="102">
        <v>2020</v>
      </c>
      <c r="C90" s="271">
        <v>122000</v>
      </c>
      <c r="D90" s="196">
        <v>8000</v>
      </c>
      <c r="E90" s="203">
        <v>9.1</v>
      </c>
      <c r="F90" s="196">
        <v>1110000</v>
      </c>
      <c r="G90" s="196">
        <v>1110000</v>
      </c>
      <c r="H90" s="327">
        <v>1320</v>
      </c>
      <c r="I90" s="271">
        <v>1465840</v>
      </c>
      <c r="J90" s="471">
        <f t="shared" ref="J90:P90" si="6">(C90-C89)/C89</f>
        <v>8.2644628099173556E-3</v>
      </c>
      <c r="K90" s="404">
        <f t="shared" si="6"/>
        <v>-0.1111111111111111</v>
      </c>
      <c r="L90" s="404">
        <f t="shared" si="6"/>
        <v>-7.4262461851475114E-2</v>
      </c>
      <c r="M90" s="471">
        <f t="shared" si="6"/>
        <v>-6.7226890756302518E-2</v>
      </c>
      <c r="N90" s="404">
        <f t="shared" si="6"/>
        <v>-6.7226890756302518E-2</v>
      </c>
      <c r="O90" s="404">
        <f t="shared" si="6"/>
        <v>0.28155339805825241</v>
      </c>
      <c r="P90" s="404">
        <f t="shared" si="6"/>
        <v>0.20021452287084004</v>
      </c>
      <c r="Q90" s="27"/>
    </row>
    <row r="91" spans="1:17" s="14" customFormat="1" ht="12" customHeight="1" x14ac:dyDescent="0.2">
      <c r="A91" s="42"/>
      <c r="B91" s="102"/>
      <c r="C91" s="268"/>
      <c r="D91" s="196"/>
      <c r="E91" s="203"/>
      <c r="F91" s="196"/>
      <c r="G91" s="119"/>
      <c r="H91" s="340"/>
      <c r="I91" s="268"/>
      <c r="J91" s="42"/>
      <c r="M91" s="472"/>
    </row>
    <row r="92" spans="1:17" s="14" customFormat="1" ht="12" customHeight="1" x14ac:dyDescent="0.2">
      <c r="A92" s="110" t="s">
        <v>61</v>
      </c>
      <c r="B92" s="102">
        <v>2011</v>
      </c>
      <c r="C92" s="268">
        <v>540000</v>
      </c>
      <c r="D92" s="196">
        <v>37000</v>
      </c>
      <c r="E92" s="203">
        <v>6.2</v>
      </c>
      <c r="F92" s="196">
        <v>3347000</v>
      </c>
      <c r="G92" s="119">
        <v>3347000</v>
      </c>
      <c r="H92" s="340">
        <v>637</v>
      </c>
      <c r="I92" s="268">
        <v>2132039</v>
      </c>
      <c r="J92" s="27"/>
      <c r="M92" s="472"/>
    </row>
    <row r="93" spans="1:17" s="14" customFormat="1" ht="12" customHeight="1" x14ac:dyDescent="0.25">
      <c r="A93" s="101"/>
      <c r="B93" s="102">
        <v>2012</v>
      </c>
      <c r="C93" s="268">
        <v>550000</v>
      </c>
      <c r="D93" s="196">
        <v>38000</v>
      </c>
      <c r="E93" s="203">
        <v>7.31</v>
      </c>
      <c r="F93" s="196">
        <v>4018000</v>
      </c>
      <c r="G93" s="119">
        <v>4018000</v>
      </c>
      <c r="H93" s="340">
        <v>773</v>
      </c>
      <c r="I93" s="268">
        <v>3105914</v>
      </c>
      <c r="J93" s="27"/>
      <c r="M93" s="472"/>
    </row>
    <row r="94" spans="1:17" s="14" customFormat="1" ht="12" customHeight="1" x14ac:dyDescent="0.25">
      <c r="A94" s="101"/>
      <c r="B94" s="104">
        <v>2013</v>
      </c>
      <c r="C94" s="268">
        <v>565000</v>
      </c>
      <c r="D94" s="196">
        <v>45000</v>
      </c>
      <c r="E94" s="203">
        <v>7.51</v>
      </c>
      <c r="F94" s="196">
        <v>4245000</v>
      </c>
      <c r="G94" s="119">
        <v>4245000</v>
      </c>
      <c r="H94" s="340">
        <v>753</v>
      </c>
      <c r="I94" s="268">
        <v>3196485</v>
      </c>
      <c r="J94" s="27"/>
      <c r="M94" s="472"/>
    </row>
    <row r="95" spans="1:17" s="14" customFormat="1" ht="12" customHeight="1" x14ac:dyDescent="0.25">
      <c r="A95" s="101"/>
      <c r="B95" s="104">
        <v>2014</v>
      </c>
      <c r="C95" s="268">
        <v>565000</v>
      </c>
      <c r="D95" s="196">
        <v>50000</v>
      </c>
      <c r="E95" s="203">
        <v>6.89</v>
      </c>
      <c r="F95" s="196">
        <v>3895000</v>
      </c>
      <c r="G95" s="119">
        <v>3895000</v>
      </c>
      <c r="H95" s="340">
        <v>759</v>
      </c>
      <c r="I95" s="268">
        <v>2956305</v>
      </c>
      <c r="J95" s="27"/>
      <c r="M95" s="472"/>
    </row>
    <row r="96" spans="1:17" s="14" customFormat="1" ht="12" customHeight="1" x14ac:dyDescent="0.25">
      <c r="A96" s="101"/>
      <c r="B96" s="199">
        <v>2015</v>
      </c>
      <c r="C96" s="271">
        <v>560000</v>
      </c>
      <c r="D96" s="196">
        <v>48000</v>
      </c>
      <c r="E96" s="203">
        <v>6.62</v>
      </c>
      <c r="F96" s="196">
        <v>3705000</v>
      </c>
      <c r="G96" s="196">
        <v>3705000</v>
      </c>
      <c r="H96" s="327">
        <v>781</v>
      </c>
      <c r="I96" s="271">
        <v>2893605</v>
      </c>
      <c r="J96" s="27"/>
      <c r="M96" s="472"/>
    </row>
    <row r="97" spans="1:18" s="14" customFormat="1" ht="12" customHeight="1" x14ac:dyDescent="0.25">
      <c r="A97" s="101"/>
      <c r="B97" s="199">
        <v>2016</v>
      </c>
      <c r="C97" s="271">
        <v>560000</v>
      </c>
      <c r="D97" s="196">
        <v>42000</v>
      </c>
      <c r="E97" s="203">
        <v>7.2</v>
      </c>
      <c r="F97" s="196">
        <v>4032000</v>
      </c>
      <c r="G97" s="196">
        <v>4032000</v>
      </c>
      <c r="H97" s="327">
        <v>905</v>
      </c>
      <c r="I97" s="271">
        <v>3648960</v>
      </c>
      <c r="J97" s="27"/>
      <c r="M97" s="472"/>
    </row>
    <row r="98" spans="1:18" s="14" customFormat="1" ht="12" customHeight="1" x14ac:dyDescent="0.25">
      <c r="A98" s="101"/>
      <c r="B98" s="199">
        <v>2017</v>
      </c>
      <c r="C98" s="271">
        <v>560000</v>
      </c>
      <c r="D98" s="196">
        <v>39000</v>
      </c>
      <c r="E98" s="203">
        <v>7.17</v>
      </c>
      <c r="F98" s="196">
        <v>4016000</v>
      </c>
      <c r="G98" s="196">
        <v>4016000</v>
      </c>
      <c r="H98" s="327">
        <v>927</v>
      </c>
      <c r="I98" s="271">
        <v>3722832</v>
      </c>
      <c r="J98" s="46"/>
      <c r="M98" s="472"/>
    </row>
    <row r="99" spans="1:18" s="14" customFormat="1" ht="12" customHeight="1" x14ac:dyDescent="0.25">
      <c r="A99" s="101"/>
      <c r="B99" s="102">
        <v>2018</v>
      </c>
      <c r="C99" s="271">
        <v>590000</v>
      </c>
      <c r="D99" s="196">
        <v>47000</v>
      </c>
      <c r="E99" s="203">
        <v>7.26</v>
      </c>
      <c r="F99" s="196">
        <v>4285000</v>
      </c>
      <c r="G99" s="196">
        <v>4285000</v>
      </c>
      <c r="H99" s="327">
        <v>1010</v>
      </c>
      <c r="I99" s="271">
        <v>4327850</v>
      </c>
      <c r="M99" s="472"/>
    </row>
    <row r="100" spans="1:18" s="14" customFormat="1" ht="12" customHeight="1" x14ac:dyDescent="0.25">
      <c r="A100" s="101"/>
      <c r="B100" s="102">
        <v>2019</v>
      </c>
      <c r="C100" s="271">
        <v>590000</v>
      </c>
      <c r="D100" s="196">
        <v>45000</v>
      </c>
      <c r="E100" s="203">
        <v>6.78</v>
      </c>
      <c r="F100" s="196">
        <v>4000000</v>
      </c>
      <c r="G100" s="196">
        <v>3920000</v>
      </c>
      <c r="H100" s="327">
        <v>972</v>
      </c>
      <c r="I100" s="271">
        <v>3810240</v>
      </c>
      <c r="K100" s="302"/>
      <c r="M100" s="472"/>
    </row>
    <row r="101" spans="1:18" s="42" customFormat="1" ht="12" customHeight="1" x14ac:dyDescent="0.25">
      <c r="A101" s="101"/>
      <c r="B101" s="102">
        <v>2020</v>
      </c>
      <c r="C101" s="271">
        <v>580000</v>
      </c>
      <c r="D101" s="196">
        <v>40000</v>
      </c>
      <c r="E101" s="203">
        <v>5.89</v>
      </c>
      <c r="F101" s="196">
        <v>3415000</v>
      </c>
      <c r="G101" s="196">
        <v>3415000</v>
      </c>
      <c r="H101" s="327">
        <v>795</v>
      </c>
      <c r="I101" s="271">
        <v>2714925</v>
      </c>
      <c r="J101" s="471">
        <f t="shared" ref="J101:P101" si="7">(C101-C100)/C100</f>
        <v>-1.6949152542372881E-2</v>
      </c>
      <c r="K101" s="404">
        <f t="shared" si="7"/>
        <v>-0.1111111111111111</v>
      </c>
      <c r="L101" s="404">
        <f t="shared" si="7"/>
        <v>-0.13126843657817117</v>
      </c>
      <c r="M101" s="471">
        <f t="shared" si="7"/>
        <v>-0.14624999999999999</v>
      </c>
      <c r="N101" s="404">
        <f t="shared" si="7"/>
        <v>-0.12882653061224489</v>
      </c>
      <c r="O101" s="404">
        <f t="shared" si="7"/>
        <v>-0.18209876543209877</v>
      </c>
      <c r="P101" s="404">
        <f t="shared" si="7"/>
        <v>-0.28746614386495339</v>
      </c>
    </row>
    <row r="102" spans="1:18" s="14" customFormat="1" ht="12" customHeight="1" x14ac:dyDescent="0.2">
      <c r="A102" s="42"/>
      <c r="B102" s="102"/>
      <c r="C102" s="268"/>
      <c r="D102" s="196"/>
      <c r="E102" s="203"/>
      <c r="F102" s="196"/>
      <c r="G102" s="119"/>
      <c r="H102" s="340"/>
      <c r="I102" s="268"/>
      <c r="J102" s="42"/>
      <c r="M102" s="472"/>
    </row>
    <row r="103" spans="1:18" s="14" customFormat="1" ht="12" customHeight="1" x14ac:dyDescent="0.2">
      <c r="A103" s="110" t="s">
        <v>92</v>
      </c>
      <c r="B103" s="102">
        <v>2011</v>
      </c>
      <c r="C103" s="268">
        <v>845000</v>
      </c>
      <c r="D103" s="196">
        <v>52000</v>
      </c>
      <c r="E103" s="203">
        <v>7.86</v>
      </c>
      <c r="F103" s="196">
        <v>6642000</v>
      </c>
      <c r="G103" s="119">
        <v>6642000</v>
      </c>
      <c r="H103" s="340">
        <v>577</v>
      </c>
      <c r="I103" s="268">
        <v>3830722</v>
      </c>
      <c r="J103" s="27"/>
      <c r="M103" s="472"/>
    </row>
    <row r="104" spans="1:18" s="14" customFormat="1" ht="12" customHeight="1" x14ac:dyDescent="0.25">
      <c r="A104" s="101"/>
      <c r="B104" s="102">
        <v>2012</v>
      </c>
      <c r="C104" s="268">
        <v>855000</v>
      </c>
      <c r="D104" s="196">
        <v>54000</v>
      </c>
      <c r="E104" s="203">
        <v>8.01</v>
      </c>
      <c r="F104" s="196">
        <v>6852000</v>
      </c>
      <c r="G104" s="119">
        <v>6852000</v>
      </c>
      <c r="H104" s="340">
        <v>756</v>
      </c>
      <c r="I104" s="268">
        <v>5182968</v>
      </c>
      <c r="J104" s="27"/>
      <c r="M104" s="472"/>
    </row>
    <row r="105" spans="1:18" s="14" customFormat="1" ht="12" customHeight="1" x14ac:dyDescent="0.25">
      <c r="A105" s="101"/>
      <c r="B105" s="102">
        <v>2013</v>
      </c>
      <c r="C105" s="268">
        <v>875000</v>
      </c>
      <c r="D105" s="196">
        <v>58000</v>
      </c>
      <c r="E105" s="203">
        <v>8.85</v>
      </c>
      <c r="F105" s="196">
        <v>7742000</v>
      </c>
      <c r="G105" s="119">
        <v>7742000</v>
      </c>
      <c r="H105" s="340">
        <v>719</v>
      </c>
      <c r="I105" s="268">
        <v>5565734</v>
      </c>
      <c r="J105" s="27"/>
      <c r="M105" s="472"/>
    </row>
    <row r="106" spans="1:18" s="14" customFormat="1" ht="12" customHeight="1" x14ac:dyDescent="0.25">
      <c r="A106" s="101"/>
      <c r="B106" s="102">
        <v>2014</v>
      </c>
      <c r="C106" s="268">
        <v>865000</v>
      </c>
      <c r="D106" s="196">
        <v>63000</v>
      </c>
      <c r="E106" s="203">
        <v>8.02</v>
      </c>
      <c r="F106" s="196">
        <v>6934000</v>
      </c>
      <c r="G106" s="119">
        <v>6934000</v>
      </c>
      <c r="H106" s="338">
        <v>756</v>
      </c>
      <c r="I106" s="268">
        <v>5239693</v>
      </c>
      <c r="J106" s="27"/>
      <c r="M106" s="472"/>
    </row>
    <row r="107" spans="1:18" s="14" customFormat="1" ht="12" customHeight="1" x14ac:dyDescent="0.25">
      <c r="A107" s="101"/>
      <c r="B107" s="198">
        <v>2015</v>
      </c>
      <c r="C107" s="271">
        <v>856000</v>
      </c>
      <c r="D107" s="196">
        <v>62000</v>
      </c>
      <c r="E107" s="203">
        <v>7.93</v>
      </c>
      <c r="F107" s="196">
        <v>6792000</v>
      </c>
      <c r="G107" s="196">
        <v>6792000</v>
      </c>
      <c r="H107" s="197">
        <v>782</v>
      </c>
      <c r="I107" s="271">
        <v>5310303</v>
      </c>
      <c r="J107" s="27"/>
      <c r="M107" s="472"/>
    </row>
    <row r="108" spans="1:18" s="14" customFormat="1" ht="12" customHeight="1" x14ac:dyDescent="0.25">
      <c r="A108" s="101"/>
      <c r="B108" s="198">
        <v>2016</v>
      </c>
      <c r="C108" s="271">
        <v>841000</v>
      </c>
      <c r="D108" s="196">
        <v>56000</v>
      </c>
      <c r="E108" s="203">
        <v>8.0299999999999994</v>
      </c>
      <c r="F108" s="196">
        <v>6752000</v>
      </c>
      <c r="G108" s="196">
        <v>6752000</v>
      </c>
      <c r="H108" s="197">
        <v>832</v>
      </c>
      <c r="I108" s="271">
        <v>5620842</v>
      </c>
      <c r="J108" s="27"/>
      <c r="M108" s="472"/>
    </row>
    <row r="109" spans="1:18" s="14" customFormat="1" ht="12" customHeight="1" x14ac:dyDescent="0.25">
      <c r="A109" s="101"/>
      <c r="B109" s="104">
        <v>2017</v>
      </c>
      <c r="C109" s="271">
        <v>829000</v>
      </c>
      <c r="D109" s="196">
        <v>51000</v>
      </c>
      <c r="E109" s="200">
        <v>7.85</v>
      </c>
      <c r="F109" s="325">
        <v>6507000</v>
      </c>
      <c r="G109" s="325">
        <v>6507000</v>
      </c>
      <c r="H109" s="197">
        <v>899</v>
      </c>
      <c r="I109" s="271">
        <v>5847966</v>
      </c>
      <c r="J109" s="46"/>
      <c r="M109" s="472"/>
    </row>
    <row r="110" spans="1:18" s="14" customFormat="1" ht="12" customHeight="1" x14ac:dyDescent="0.2">
      <c r="B110" s="199">
        <v>2018</v>
      </c>
      <c r="C110" s="337">
        <v>863000</v>
      </c>
      <c r="D110" s="331">
        <v>62000</v>
      </c>
      <c r="E110" s="342">
        <v>8.26</v>
      </c>
      <c r="F110" s="331">
        <v>7130000</v>
      </c>
      <c r="G110" s="331">
        <v>7130000</v>
      </c>
      <c r="H110" s="343">
        <v>878</v>
      </c>
      <c r="I110" s="337">
        <v>6260348</v>
      </c>
      <c r="M110" s="472"/>
    </row>
    <row r="111" spans="1:18" s="14" customFormat="1" ht="12" customHeight="1" x14ac:dyDescent="0.25">
      <c r="A111" s="181"/>
      <c r="B111" s="199">
        <v>2019</v>
      </c>
      <c r="C111" s="337">
        <v>860000</v>
      </c>
      <c r="D111" s="331">
        <v>58000</v>
      </c>
      <c r="E111" s="342">
        <v>7.64</v>
      </c>
      <c r="F111" s="331">
        <v>6570000</v>
      </c>
      <c r="G111" s="331">
        <v>6490000</v>
      </c>
      <c r="H111" s="343">
        <v>832</v>
      </c>
      <c r="I111" s="337">
        <v>5398164</v>
      </c>
      <c r="K111" s="302"/>
      <c r="M111" s="472"/>
    </row>
    <row r="112" spans="1:18" s="42" customFormat="1" ht="12" customHeight="1" x14ac:dyDescent="0.25">
      <c r="A112" s="106"/>
      <c r="B112" s="297">
        <v>2020</v>
      </c>
      <c r="C112" s="507">
        <v>844000</v>
      </c>
      <c r="D112" s="508">
        <v>51000</v>
      </c>
      <c r="E112" s="509">
        <v>6.65</v>
      </c>
      <c r="F112" s="508">
        <v>5615000</v>
      </c>
      <c r="G112" s="508">
        <v>5615000</v>
      </c>
      <c r="H112" s="510">
        <v>798</v>
      </c>
      <c r="I112" s="507">
        <v>4481297</v>
      </c>
      <c r="J112" s="471">
        <f t="shared" ref="J112:P112" si="8">(C112-C111)/C111</f>
        <v>-1.8604651162790697E-2</v>
      </c>
      <c r="K112" s="404">
        <f t="shared" si="8"/>
        <v>-0.1206896551724138</v>
      </c>
      <c r="L112" s="404">
        <f t="shared" si="8"/>
        <v>-0.12958115183246066</v>
      </c>
      <c r="M112" s="471">
        <f t="shared" si="8"/>
        <v>-0.14535768645357686</v>
      </c>
      <c r="N112" s="404">
        <f t="shared" si="8"/>
        <v>-0.13482280431432975</v>
      </c>
      <c r="O112" s="404">
        <f t="shared" si="8"/>
        <v>-4.0865384615384616E-2</v>
      </c>
      <c r="P112" s="464">
        <f t="shared" si="8"/>
        <v>-0.16984793348256927</v>
      </c>
      <c r="Q112" s="27">
        <f>C112</f>
        <v>844000</v>
      </c>
      <c r="R112" s="27">
        <f>F112</f>
        <v>5615000</v>
      </c>
    </row>
    <row r="113" spans="1:18" s="14" customFormat="1" ht="3.75" customHeight="1" x14ac:dyDescent="0.2">
      <c r="A113" s="42"/>
      <c r="B113" s="511"/>
      <c r="C113" s="512"/>
      <c r="D113" s="202"/>
      <c r="E113" s="203"/>
      <c r="F113" s="196"/>
      <c r="G113" s="119"/>
      <c r="H113" s="340"/>
      <c r="I113" s="268"/>
      <c r="J113" s="42"/>
      <c r="M113" s="472"/>
    </row>
    <row r="114" spans="1:18" s="14" customFormat="1" ht="12" customHeight="1" x14ac:dyDescent="0.2">
      <c r="A114" s="110" t="s">
        <v>35</v>
      </c>
      <c r="B114" s="102">
        <v>2011</v>
      </c>
      <c r="C114" s="268">
        <v>4000</v>
      </c>
      <c r="D114" s="144" t="s">
        <v>77</v>
      </c>
      <c r="E114" s="140">
        <v>9.43</v>
      </c>
      <c r="F114" s="119">
        <v>37700</v>
      </c>
      <c r="G114" s="119">
        <v>36700</v>
      </c>
      <c r="H114" s="340">
        <v>775</v>
      </c>
      <c r="I114" s="268">
        <v>28439</v>
      </c>
      <c r="J114" s="27"/>
      <c r="M114" s="472"/>
    </row>
    <row r="115" spans="1:18" s="14" customFormat="1" ht="12" customHeight="1" x14ac:dyDescent="0.25">
      <c r="A115" s="101"/>
      <c r="B115" s="102">
        <v>2012</v>
      </c>
      <c r="C115" s="268">
        <v>3700</v>
      </c>
      <c r="D115" s="144" t="s">
        <v>77</v>
      </c>
      <c r="E115" s="140">
        <v>8</v>
      </c>
      <c r="F115" s="119">
        <v>29600</v>
      </c>
      <c r="G115" s="119">
        <v>27100</v>
      </c>
      <c r="H115" s="340">
        <v>1020</v>
      </c>
      <c r="I115" s="268">
        <v>27508</v>
      </c>
      <c r="J115" s="27"/>
      <c r="M115" s="472"/>
    </row>
    <row r="116" spans="1:18" s="14" customFormat="1" ht="12" customHeight="1" x14ac:dyDescent="0.25">
      <c r="A116" s="101"/>
      <c r="B116" s="102">
        <v>2013</v>
      </c>
      <c r="C116" s="268">
        <v>3800</v>
      </c>
      <c r="D116" s="144" t="s">
        <v>77</v>
      </c>
      <c r="E116" s="140">
        <v>7.08</v>
      </c>
      <c r="F116" s="119">
        <v>27600</v>
      </c>
      <c r="G116" s="119">
        <v>26900</v>
      </c>
      <c r="H116" s="340">
        <v>1110</v>
      </c>
      <c r="I116" s="268">
        <v>29812</v>
      </c>
      <c r="J116" s="27"/>
      <c r="M116" s="472"/>
    </row>
    <row r="117" spans="1:18" s="14" customFormat="1" ht="12" customHeight="1" x14ac:dyDescent="0.25">
      <c r="A117" s="101"/>
      <c r="B117" s="102">
        <v>2014</v>
      </c>
      <c r="C117" s="268">
        <v>4100</v>
      </c>
      <c r="D117" s="202" t="s">
        <v>77</v>
      </c>
      <c r="E117" s="140">
        <v>6.95</v>
      </c>
      <c r="F117" s="119">
        <v>28500</v>
      </c>
      <c r="G117" s="119">
        <v>27900</v>
      </c>
      <c r="H117" s="340">
        <v>1190</v>
      </c>
      <c r="I117" s="268">
        <v>33333</v>
      </c>
      <c r="J117" s="27"/>
      <c r="M117" s="472"/>
    </row>
    <row r="118" spans="1:18" s="14" customFormat="1" ht="12" customHeight="1" x14ac:dyDescent="0.25">
      <c r="A118" s="101"/>
      <c r="B118" s="199">
        <v>2015</v>
      </c>
      <c r="C118" s="271">
        <v>3700</v>
      </c>
      <c r="D118" s="202" t="s">
        <v>77</v>
      </c>
      <c r="E118" s="203">
        <v>5.36</v>
      </c>
      <c r="F118" s="196">
        <v>20900</v>
      </c>
      <c r="G118" s="196">
        <v>20900</v>
      </c>
      <c r="H118" s="327">
        <v>1470</v>
      </c>
      <c r="I118" s="271">
        <v>30723</v>
      </c>
      <c r="J118" s="27"/>
      <c r="M118" s="472"/>
    </row>
    <row r="119" spans="1:18" s="14" customFormat="1" ht="12" customHeight="1" x14ac:dyDescent="0.25">
      <c r="A119" s="101"/>
      <c r="B119" s="199">
        <v>2016</v>
      </c>
      <c r="C119" s="271">
        <v>3900</v>
      </c>
      <c r="D119" s="202" t="s">
        <v>77</v>
      </c>
      <c r="E119" s="203">
        <v>7.65</v>
      </c>
      <c r="F119" s="196">
        <v>28300</v>
      </c>
      <c r="G119" s="196">
        <v>28300</v>
      </c>
      <c r="H119" s="327">
        <v>1570</v>
      </c>
      <c r="I119" s="271">
        <v>44431</v>
      </c>
      <c r="J119" s="27"/>
      <c r="M119" s="472"/>
    </row>
    <row r="120" spans="1:18" s="14" customFormat="1" ht="12" customHeight="1" x14ac:dyDescent="0.25">
      <c r="A120" s="101"/>
      <c r="B120" s="199">
        <v>2017</v>
      </c>
      <c r="C120" s="271">
        <v>3600</v>
      </c>
      <c r="D120" s="202" t="s">
        <v>77</v>
      </c>
      <c r="E120" s="203">
        <v>9.33</v>
      </c>
      <c r="F120" s="196">
        <v>33600</v>
      </c>
      <c r="G120" s="196">
        <v>33200</v>
      </c>
      <c r="H120" s="327">
        <v>1050</v>
      </c>
      <c r="I120" s="271">
        <v>34860</v>
      </c>
      <c r="J120" s="46"/>
      <c r="M120" s="472"/>
    </row>
    <row r="121" spans="1:18" s="14" customFormat="1" ht="12" customHeight="1" x14ac:dyDescent="0.25">
      <c r="A121" s="101"/>
      <c r="B121" s="104">
        <v>2018</v>
      </c>
      <c r="C121" s="328">
        <v>3900</v>
      </c>
      <c r="D121" s="200" t="s">
        <v>77</v>
      </c>
      <c r="E121" s="201">
        <v>9.6999999999999993</v>
      </c>
      <c r="F121" s="325">
        <v>37800</v>
      </c>
      <c r="G121" s="325">
        <v>37800</v>
      </c>
      <c r="H121" s="327">
        <v>1470</v>
      </c>
      <c r="I121" s="328">
        <v>55566</v>
      </c>
      <c r="M121" s="472"/>
    </row>
    <row r="122" spans="1:18" s="14" customFormat="1" ht="12" customHeight="1" x14ac:dyDescent="0.25">
      <c r="A122" s="101"/>
      <c r="B122" s="104">
        <v>2019</v>
      </c>
      <c r="C122" s="328">
        <v>4400</v>
      </c>
      <c r="D122" s="200" t="s">
        <v>77</v>
      </c>
      <c r="E122" s="201">
        <v>8.5</v>
      </c>
      <c r="F122" s="325">
        <v>37400</v>
      </c>
      <c r="G122" s="325">
        <v>37250</v>
      </c>
      <c r="H122" s="327">
        <v>1820</v>
      </c>
      <c r="I122" s="328">
        <v>67795</v>
      </c>
      <c r="K122" s="302"/>
      <c r="M122" s="472"/>
    </row>
    <row r="123" spans="1:18" s="42" customFormat="1" ht="12" customHeight="1" x14ac:dyDescent="0.25">
      <c r="A123" s="101"/>
      <c r="B123" s="104">
        <v>2020</v>
      </c>
      <c r="C123" s="328">
        <v>4400</v>
      </c>
      <c r="D123" s="200" t="s">
        <v>77</v>
      </c>
      <c r="E123" s="201">
        <v>9.1</v>
      </c>
      <c r="F123" s="325">
        <v>40000</v>
      </c>
      <c r="G123" s="325">
        <v>39760</v>
      </c>
      <c r="H123" s="327">
        <v>1920</v>
      </c>
      <c r="I123" s="328">
        <v>76339</v>
      </c>
      <c r="J123" s="471">
        <f t="shared" ref="J123:P123" si="9">(C123-C122)/C122</f>
        <v>0</v>
      </c>
      <c r="K123" s="404" t="e">
        <f t="shared" si="9"/>
        <v>#VALUE!</v>
      </c>
      <c r="L123" s="404">
        <f t="shared" si="9"/>
        <v>7.0588235294117604E-2</v>
      </c>
      <c r="M123" s="471">
        <f t="shared" si="9"/>
        <v>6.9518716577540107E-2</v>
      </c>
      <c r="N123" s="404">
        <f t="shared" si="9"/>
        <v>6.7382550335570474E-2</v>
      </c>
      <c r="O123" s="404">
        <f t="shared" si="9"/>
        <v>5.4945054945054944E-2</v>
      </c>
      <c r="P123" s="404">
        <f t="shared" si="9"/>
        <v>0.12602699314108709</v>
      </c>
      <c r="Q123" s="27">
        <f>C123</f>
        <v>4400</v>
      </c>
      <c r="R123" s="27">
        <f>F123</f>
        <v>40000</v>
      </c>
    </row>
    <row r="124" spans="1:18" s="14" customFormat="1" ht="12" customHeight="1" x14ac:dyDescent="0.2">
      <c r="A124" s="42"/>
      <c r="B124" s="102"/>
      <c r="C124" s="268"/>
      <c r="D124" s="202"/>
      <c r="E124" s="140"/>
      <c r="F124" s="119"/>
      <c r="G124" s="119"/>
      <c r="H124" s="338"/>
      <c r="I124" s="268"/>
      <c r="M124" s="472"/>
    </row>
    <row r="125" spans="1:18" s="14" customFormat="1" ht="12" customHeight="1" x14ac:dyDescent="0.2">
      <c r="A125" s="110" t="s">
        <v>36</v>
      </c>
      <c r="B125" s="102">
        <v>2011</v>
      </c>
      <c r="C125" s="268">
        <v>21000</v>
      </c>
      <c r="D125" s="202" t="s">
        <v>77</v>
      </c>
      <c r="E125" s="140">
        <v>10.29</v>
      </c>
      <c r="F125" s="119">
        <v>216000</v>
      </c>
      <c r="G125" s="119">
        <v>216000</v>
      </c>
      <c r="H125" s="338">
        <v>590</v>
      </c>
      <c r="I125" s="268">
        <v>127440</v>
      </c>
      <c r="J125" s="27"/>
      <c r="M125" s="472"/>
    </row>
    <row r="126" spans="1:18" s="14" customFormat="1" ht="12" customHeight="1" x14ac:dyDescent="0.25">
      <c r="A126" s="101"/>
      <c r="B126" s="102">
        <v>2012</v>
      </c>
      <c r="C126" s="268">
        <v>18000</v>
      </c>
      <c r="D126" s="202" t="s">
        <v>77</v>
      </c>
      <c r="E126" s="140">
        <v>10</v>
      </c>
      <c r="F126" s="119">
        <v>180000</v>
      </c>
      <c r="G126" s="119">
        <v>180000</v>
      </c>
      <c r="H126" s="338">
        <v>777</v>
      </c>
      <c r="I126" s="268">
        <v>139860</v>
      </c>
      <c r="J126" s="27"/>
      <c r="M126" s="472"/>
    </row>
    <row r="127" spans="1:18" s="14" customFormat="1" ht="12" customHeight="1" x14ac:dyDescent="0.25">
      <c r="A127" s="101"/>
      <c r="B127" s="102">
        <v>2013</v>
      </c>
      <c r="C127" s="268">
        <v>18000</v>
      </c>
      <c r="D127" s="202" t="s">
        <v>77</v>
      </c>
      <c r="E127" s="140">
        <v>8.33</v>
      </c>
      <c r="F127" s="119">
        <v>150000</v>
      </c>
      <c r="G127" s="119">
        <v>150000</v>
      </c>
      <c r="H127" s="338">
        <v>780</v>
      </c>
      <c r="I127" s="268">
        <v>116940</v>
      </c>
      <c r="J127" s="27"/>
      <c r="M127" s="472"/>
    </row>
    <row r="128" spans="1:18" s="14" customFormat="1" ht="12" customHeight="1" x14ac:dyDescent="0.25">
      <c r="A128" s="101"/>
      <c r="B128" s="102">
        <v>2014</v>
      </c>
      <c r="C128" s="268">
        <v>21000</v>
      </c>
      <c r="D128" s="202" t="s">
        <v>77</v>
      </c>
      <c r="E128" s="140">
        <v>9.19</v>
      </c>
      <c r="F128" s="119">
        <v>175000</v>
      </c>
      <c r="G128" s="119">
        <v>175000</v>
      </c>
      <c r="H128" s="338">
        <v>872</v>
      </c>
      <c r="I128" s="268">
        <v>168206</v>
      </c>
      <c r="J128" s="27"/>
      <c r="M128" s="472"/>
    </row>
    <row r="129" spans="1:18" s="14" customFormat="1" ht="12" customHeight="1" x14ac:dyDescent="0.25">
      <c r="A129" s="101"/>
      <c r="B129" s="199">
        <v>2015</v>
      </c>
      <c r="C129" s="271">
        <v>20000</v>
      </c>
      <c r="D129" s="202" t="s">
        <v>77</v>
      </c>
      <c r="E129" s="203">
        <v>8.31</v>
      </c>
      <c r="F129" s="196">
        <v>150200</v>
      </c>
      <c r="G129" s="196">
        <v>148000</v>
      </c>
      <c r="H129" s="197">
        <v>915</v>
      </c>
      <c r="I129" s="271">
        <v>150033</v>
      </c>
      <c r="J129" s="27"/>
      <c r="M129" s="472"/>
    </row>
    <row r="130" spans="1:18" s="14" customFormat="1" ht="12" customHeight="1" x14ac:dyDescent="0.25">
      <c r="A130" s="101"/>
      <c r="B130" s="199">
        <v>2016</v>
      </c>
      <c r="C130" s="271">
        <v>19000</v>
      </c>
      <c r="D130" s="202" t="s">
        <v>77</v>
      </c>
      <c r="E130" s="203">
        <v>8.32</v>
      </c>
      <c r="F130" s="196">
        <v>141550</v>
      </c>
      <c r="G130" s="196">
        <v>141500</v>
      </c>
      <c r="H130" s="197">
        <v>869</v>
      </c>
      <c r="I130" s="271">
        <v>137418</v>
      </c>
      <c r="J130" s="27"/>
      <c r="M130" s="472"/>
    </row>
    <row r="131" spans="1:18" s="14" customFormat="1" ht="12" customHeight="1" x14ac:dyDescent="0.25">
      <c r="A131" s="101"/>
      <c r="B131" s="199">
        <v>2017</v>
      </c>
      <c r="C131" s="271">
        <v>16000</v>
      </c>
      <c r="D131" s="202" t="s">
        <v>77</v>
      </c>
      <c r="E131" s="203">
        <v>8.25</v>
      </c>
      <c r="F131" s="196">
        <v>132000</v>
      </c>
      <c r="G131" s="196">
        <v>131000</v>
      </c>
      <c r="H131" s="197">
        <v>903</v>
      </c>
      <c r="I131" s="271">
        <v>118337</v>
      </c>
      <c r="J131" s="46"/>
      <c r="M131" s="472"/>
    </row>
    <row r="132" spans="1:18" s="14" customFormat="1" ht="12" customHeight="1" x14ac:dyDescent="0.25">
      <c r="A132" s="101"/>
      <c r="B132" s="104">
        <v>2018</v>
      </c>
      <c r="C132" s="328">
        <v>14000</v>
      </c>
      <c r="D132" s="200" t="s">
        <v>77</v>
      </c>
      <c r="E132" s="201">
        <v>8.6</v>
      </c>
      <c r="F132" s="325">
        <v>120500</v>
      </c>
      <c r="G132" s="325">
        <v>119650</v>
      </c>
      <c r="H132" s="327">
        <v>874</v>
      </c>
      <c r="I132" s="328">
        <v>104626</v>
      </c>
      <c r="K132" s="302"/>
      <c r="M132" s="472"/>
    </row>
    <row r="133" spans="1:18" s="14" customFormat="1" ht="12" customHeight="1" x14ac:dyDescent="0.25">
      <c r="A133" s="101"/>
      <c r="B133" s="104">
        <v>2019</v>
      </c>
      <c r="C133" s="328">
        <v>14500</v>
      </c>
      <c r="D133" s="200" t="s">
        <v>77</v>
      </c>
      <c r="E133" s="201">
        <v>8.65</v>
      </c>
      <c r="F133" s="325">
        <v>125500</v>
      </c>
      <c r="G133" s="325">
        <v>123640</v>
      </c>
      <c r="H133" s="327">
        <v>980</v>
      </c>
      <c r="I133" s="328">
        <v>121126</v>
      </c>
      <c r="M133" s="472"/>
    </row>
    <row r="134" spans="1:18" s="42" customFormat="1" ht="12" customHeight="1" x14ac:dyDescent="0.25">
      <c r="A134" s="101"/>
      <c r="B134" s="104">
        <v>2020</v>
      </c>
      <c r="C134" s="328">
        <v>13600</v>
      </c>
      <c r="D134" s="200" t="s">
        <v>77</v>
      </c>
      <c r="E134" s="201">
        <v>9</v>
      </c>
      <c r="F134" s="325">
        <v>122500</v>
      </c>
      <c r="G134" s="325">
        <v>120060</v>
      </c>
      <c r="H134" s="327">
        <v>1000</v>
      </c>
      <c r="I134" s="328">
        <v>120508</v>
      </c>
      <c r="J134" s="471">
        <f t="shared" ref="J134:P134" si="10">(C134-C133)/C133</f>
        <v>-6.2068965517241378E-2</v>
      </c>
      <c r="K134" s="404" t="e">
        <f t="shared" si="10"/>
        <v>#VALUE!</v>
      </c>
      <c r="L134" s="404">
        <f t="shared" si="10"/>
        <v>4.0462427745664699E-2</v>
      </c>
      <c r="M134" s="471">
        <f t="shared" si="10"/>
        <v>-2.3904382470119521E-2</v>
      </c>
      <c r="N134" s="404">
        <f t="shared" si="10"/>
        <v>-2.8955030734390166E-2</v>
      </c>
      <c r="O134" s="404">
        <f t="shared" si="10"/>
        <v>2.0408163265306121E-2</v>
      </c>
      <c r="P134" s="404">
        <f t="shared" si="10"/>
        <v>-5.1021250598550271E-3</v>
      </c>
      <c r="Q134" s="27">
        <f>C134</f>
        <v>13600</v>
      </c>
      <c r="R134" s="27">
        <f>F134</f>
        <v>122500</v>
      </c>
    </row>
    <row r="135" spans="1:18" s="14" customFormat="1" ht="12" customHeight="1" x14ac:dyDescent="0.2">
      <c r="A135" s="42"/>
      <c r="B135" s="102"/>
      <c r="C135" s="268"/>
      <c r="D135" s="202"/>
      <c r="E135" s="140"/>
      <c r="F135" s="119"/>
      <c r="G135" s="119"/>
      <c r="H135" s="338"/>
      <c r="I135" s="268"/>
      <c r="M135" s="472"/>
    </row>
    <row r="136" spans="1:18" s="14" customFormat="1" ht="12" customHeight="1" x14ac:dyDescent="0.2">
      <c r="A136" s="110" t="s">
        <v>37</v>
      </c>
      <c r="B136" s="102">
        <v>2011</v>
      </c>
      <c r="C136" s="268">
        <v>39000</v>
      </c>
      <c r="D136" s="202" t="s">
        <v>77</v>
      </c>
      <c r="E136" s="140">
        <v>1.83</v>
      </c>
      <c r="F136" s="119">
        <v>71200</v>
      </c>
      <c r="G136" s="119">
        <v>71200</v>
      </c>
      <c r="H136" s="338">
        <v>733</v>
      </c>
      <c r="I136" s="268">
        <v>52168</v>
      </c>
      <c r="J136" s="27"/>
      <c r="M136" s="472"/>
    </row>
    <row r="137" spans="1:18" s="14" customFormat="1" ht="12" customHeight="1" x14ac:dyDescent="0.25">
      <c r="A137" s="101"/>
      <c r="B137" s="102">
        <v>2012</v>
      </c>
      <c r="C137" s="268">
        <v>42000</v>
      </c>
      <c r="D137" s="202" t="s">
        <v>77</v>
      </c>
      <c r="E137" s="140">
        <v>3.81</v>
      </c>
      <c r="F137" s="119">
        <v>160000</v>
      </c>
      <c r="G137" s="119">
        <v>160000</v>
      </c>
      <c r="H137" s="338">
        <v>813</v>
      </c>
      <c r="I137" s="268">
        <v>130038</v>
      </c>
      <c r="J137" s="27"/>
      <c r="M137" s="472"/>
    </row>
    <row r="138" spans="1:18" s="14" customFormat="1" ht="12" customHeight="1" x14ac:dyDescent="0.25">
      <c r="A138" s="101"/>
      <c r="B138" s="102">
        <v>2013</v>
      </c>
      <c r="C138" s="268">
        <v>40000</v>
      </c>
      <c r="D138" s="202" t="s">
        <v>77</v>
      </c>
      <c r="E138" s="140">
        <v>4.1500000000000004</v>
      </c>
      <c r="F138" s="119">
        <v>166000</v>
      </c>
      <c r="G138" s="119">
        <v>166000</v>
      </c>
      <c r="H138" s="338">
        <v>813</v>
      </c>
      <c r="I138" s="268">
        <v>134881</v>
      </c>
      <c r="J138" s="27"/>
      <c r="M138" s="472"/>
    </row>
    <row r="139" spans="1:18" s="14" customFormat="1" ht="12" customHeight="1" x14ac:dyDescent="0.25">
      <c r="A139" s="101"/>
      <c r="B139" s="102">
        <v>2014</v>
      </c>
      <c r="C139" s="268">
        <v>40000</v>
      </c>
      <c r="D139" s="202" t="s">
        <v>77</v>
      </c>
      <c r="E139" s="140">
        <v>2.38</v>
      </c>
      <c r="F139" s="119">
        <v>95000</v>
      </c>
      <c r="G139" s="119">
        <v>95000</v>
      </c>
      <c r="H139" s="338">
        <v>774</v>
      </c>
      <c r="I139" s="268">
        <v>73559</v>
      </c>
      <c r="J139" s="27"/>
      <c r="M139" s="472"/>
    </row>
    <row r="140" spans="1:18" s="14" customFormat="1" ht="12" customHeight="1" x14ac:dyDescent="0.25">
      <c r="A140" s="101"/>
      <c r="B140" s="199">
        <v>2015</v>
      </c>
      <c r="C140" s="268">
        <v>40000</v>
      </c>
      <c r="D140" s="202" t="s">
        <v>77</v>
      </c>
      <c r="E140" s="203">
        <v>4.4800000000000004</v>
      </c>
      <c r="F140" s="196">
        <v>179000</v>
      </c>
      <c r="G140" s="196">
        <v>179000</v>
      </c>
      <c r="H140" s="197">
        <v>894</v>
      </c>
      <c r="I140" s="271">
        <v>160043</v>
      </c>
      <c r="J140" s="27"/>
      <c r="M140" s="472"/>
    </row>
    <row r="141" spans="1:18" s="14" customFormat="1" ht="12" customHeight="1" x14ac:dyDescent="0.25">
      <c r="A141" s="101"/>
      <c r="B141" s="199">
        <v>2016</v>
      </c>
      <c r="C141" s="268">
        <v>40000</v>
      </c>
      <c r="D141" s="202" t="s">
        <v>77</v>
      </c>
      <c r="E141" s="203">
        <v>4.12</v>
      </c>
      <c r="F141" s="196">
        <v>164900</v>
      </c>
      <c r="G141" s="196">
        <v>164800</v>
      </c>
      <c r="H141" s="197">
        <v>860</v>
      </c>
      <c r="I141" s="271">
        <v>141761</v>
      </c>
      <c r="J141" s="27"/>
      <c r="M141" s="472"/>
    </row>
    <row r="142" spans="1:18" s="14" customFormat="1" ht="12" customHeight="1" x14ac:dyDescent="0.25">
      <c r="A142" s="101"/>
      <c r="B142" s="199">
        <v>2017</v>
      </c>
      <c r="C142" s="271">
        <v>40000</v>
      </c>
      <c r="D142" s="202" t="s">
        <v>77</v>
      </c>
      <c r="E142" s="203">
        <v>4.8099999999999996</v>
      </c>
      <c r="F142" s="196">
        <v>192300</v>
      </c>
      <c r="G142" s="196">
        <v>191700</v>
      </c>
      <c r="H142" s="197">
        <v>974</v>
      </c>
      <c r="I142" s="271">
        <v>186649</v>
      </c>
      <c r="J142" s="46"/>
      <c r="M142" s="472"/>
    </row>
    <row r="143" spans="1:18" s="14" customFormat="1" ht="12" customHeight="1" x14ac:dyDescent="0.25">
      <c r="A143" s="101"/>
      <c r="B143" s="104">
        <v>2018</v>
      </c>
      <c r="C143" s="328">
        <v>37500</v>
      </c>
      <c r="D143" s="200" t="s">
        <v>77</v>
      </c>
      <c r="E143" s="203">
        <v>1.43</v>
      </c>
      <c r="F143" s="325">
        <v>53600</v>
      </c>
      <c r="G143" s="325">
        <v>52900</v>
      </c>
      <c r="H143" s="327">
        <v>766</v>
      </c>
      <c r="I143" s="328">
        <v>40523</v>
      </c>
      <c r="J143" s="46"/>
      <c r="K143" s="302"/>
      <c r="M143" s="472"/>
    </row>
    <row r="144" spans="1:18" s="14" customFormat="1" ht="12" customHeight="1" x14ac:dyDescent="0.25">
      <c r="A144" s="101"/>
      <c r="B144" s="104">
        <v>2019</v>
      </c>
      <c r="C144" s="328">
        <v>37500</v>
      </c>
      <c r="D144" s="200" t="s">
        <v>77</v>
      </c>
      <c r="E144" s="203">
        <v>4.47</v>
      </c>
      <c r="F144" s="325">
        <v>167500</v>
      </c>
      <c r="G144" s="325">
        <v>164650</v>
      </c>
      <c r="H144" s="327">
        <v>791</v>
      </c>
      <c r="I144" s="328">
        <v>130218</v>
      </c>
      <c r="M144" s="472"/>
    </row>
    <row r="145" spans="1:18" s="42" customFormat="1" ht="12" customHeight="1" x14ac:dyDescent="0.25">
      <c r="A145" s="101"/>
      <c r="B145" s="104">
        <v>2020</v>
      </c>
      <c r="C145" s="328">
        <v>36000</v>
      </c>
      <c r="D145" s="200" t="s">
        <v>77</v>
      </c>
      <c r="E145" s="203">
        <v>1.88</v>
      </c>
      <c r="F145" s="325">
        <v>67700</v>
      </c>
      <c r="G145" s="325">
        <v>66960</v>
      </c>
      <c r="H145" s="327">
        <v>865</v>
      </c>
      <c r="I145" s="328">
        <v>57909</v>
      </c>
      <c r="J145" s="471">
        <f t="shared" ref="J145:P145" si="11">(C145-C144)/C144</f>
        <v>-0.04</v>
      </c>
      <c r="K145" s="404" t="e">
        <f t="shared" si="11"/>
        <v>#VALUE!</v>
      </c>
      <c r="L145" s="404">
        <f t="shared" si="11"/>
        <v>-0.57941834451901564</v>
      </c>
      <c r="M145" s="471">
        <f t="shared" si="11"/>
        <v>-0.59582089552238804</v>
      </c>
      <c r="N145" s="404">
        <f t="shared" si="11"/>
        <v>-0.59331916185848765</v>
      </c>
      <c r="O145" s="404">
        <f t="shared" si="11"/>
        <v>9.3552465233881166E-2</v>
      </c>
      <c r="P145" s="404">
        <f t="shared" si="11"/>
        <v>-0.55529189512970556</v>
      </c>
      <c r="Q145" s="27">
        <f>C145</f>
        <v>36000</v>
      </c>
      <c r="R145" s="27">
        <f>F145</f>
        <v>67700</v>
      </c>
    </row>
    <row r="146" spans="1:18" s="14" customFormat="1" ht="12" customHeight="1" x14ac:dyDescent="0.2">
      <c r="A146" s="42"/>
      <c r="B146" s="102"/>
      <c r="C146" s="268"/>
      <c r="D146" s="202"/>
      <c r="E146" s="140"/>
      <c r="F146" s="119"/>
      <c r="G146" s="119"/>
      <c r="H146" s="338"/>
      <c r="I146" s="268"/>
      <c r="M146" s="472"/>
    </row>
    <row r="147" spans="1:18" s="14" customFormat="1" ht="12" customHeight="1" x14ac:dyDescent="0.2">
      <c r="A147" s="110" t="s">
        <v>38</v>
      </c>
      <c r="B147" s="102">
        <v>2011</v>
      </c>
      <c r="C147" s="268">
        <v>22500</v>
      </c>
      <c r="D147" s="202" t="s">
        <v>77</v>
      </c>
      <c r="E147" s="140">
        <v>17.5</v>
      </c>
      <c r="F147" s="119">
        <v>393000</v>
      </c>
      <c r="G147" s="119">
        <v>393000</v>
      </c>
      <c r="H147" s="338">
        <v>303</v>
      </c>
      <c r="I147" s="268">
        <v>119178</v>
      </c>
      <c r="J147" s="27"/>
      <c r="M147" s="472"/>
    </row>
    <row r="148" spans="1:18" s="14" customFormat="1" ht="12" customHeight="1" x14ac:dyDescent="0.25">
      <c r="A148" s="101"/>
      <c r="B148" s="102">
        <v>2012</v>
      </c>
      <c r="C148" s="268">
        <v>23000</v>
      </c>
      <c r="D148" s="202" t="s">
        <v>77</v>
      </c>
      <c r="E148" s="140">
        <v>16</v>
      </c>
      <c r="F148" s="119">
        <v>369000</v>
      </c>
      <c r="G148" s="119">
        <v>369000</v>
      </c>
      <c r="H148" s="338">
        <v>348</v>
      </c>
      <c r="I148" s="268">
        <v>128397</v>
      </c>
      <c r="J148" s="27"/>
      <c r="M148" s="472"/>
    </row>
    <row r="149" spans="1:18" s="14" customFormat="1" ht="12" customHeight="1" x14ac:dyDescent="0.25">
      <c r="A149" s="101"/>
      <c r="B149" s="102">
        <v>2013</v>
      </c>
      <c r="C149" s="268">
        <v>22000</v>
      </c>
      <c r="D149" s="202" t="s">
        <v>77</v>
      </c>
      <c r="E149" s="140">
        <v>16.7</v>
      </c>
      <c r="F149" s="119">
        <v>368000</v>
      </c>
      <c r="G149" s="119">
        <v>368000</v>
      </c>
      <c r="H149" s="338">
        <v>364</v>
      </c>
      <c r="I149" s="268">
        <v>133865</v>
      </c>
      <c r="J149" s="27"/>
      <c r="M149" s="472"/>
    </row>
    <row r="150" spans="1:18" s="14" customFormat="1" ht="12" customHeight="1" x14ac:dyDescent="0.25">
      <c r="A150" s="101"/>
      <c r="B150" s="102">
        <v>2014</v>
      </c>
      <c r="C150" s="268">
        <v>20000</v>
      </c>
      <c r="D150" s="202" t="s">
        <v>77</v>
      </c>
      <c r="E150" s="140">
        <v>16.600000000000001</v>
      </c>
      <c r="F150" s="119">
        <v>332000</v>
      </c>
      <c r="G150" s="119">
        <v>332000</v>
      </c>
      <c r="H150" s="338">
        <v>369</v>
      </c>
      <c r="I150" s="268">
        <v>122666</v>
      </c>
      <c r="J150" s="27"/>
      <c r="M150" s="472"/>
    </row>
    <row r="151" spans="1:18" s="14" customFormat="1" ht="12" customHeight="1" x14ac:dyDescent="0.25">
      <c r="A151" s="101"/>
      <c r="B151" s="199">
        <v>2015</v>
      </c>
      <c r="C151" s="271">
        <v>19000</v>
      </c>
      <c r="D151" s="202" t="s">
        <v>77</v>
      </c>
      <c r="E151" s="203">
        <v>17.899999999999999</v>
      </c>
      <c r="F151" s="196">
        <v>340600</v>
      </c>
      <c r="G151" s="196">
        <v>340600</v>
      </c>
      <c r="H151" s="197">
        <v>470</v>
      </c>
      <c r="I151" s="271">
        <v>160201</v>
      </c>
      <c r="J151" s="27"/>
      <c r="M151" s="472"/>
    </row>
    <row r="152" spans="1:18" s="14" customFormat="1" ht="12" customHeight="1" x14ac:dyDescent="0.25">
      <c r="A152" s="101"/>
      <c r="B152" s="199">
        <v>2016</v>
      </c>
      <c r="C152" s="271">
        <v>18200</v>
      </c>
      <c r="D152" s="202" t="s">
        <v>77</v>
      </c>
      <c r="E152" s="203">
        <v>17.7</v>
      </c>
      <c r="F152" s="196">
        <v>322000</v>
      </c>
      <c r="G152" s="196">
        <v>322000</v>
      </c>
      <c r="H152" s="197">
        <v>518</v>
      </c>
      <c r="I152" s="271">
        <v>166659</v>
      </c>
      <c r="J152" s="27"/>
      <c r="M152" s="472"/>
    </row>
    <row r="153" spans="1:18" s="14" customFormat="1" ht="12" customHeight="1" x14ac:dyDescent="0.25">
      <c r="A153" s="101"/>
      <c r="B153" s="199">
        <v>2017</v>
      </c>
      <c r="C153" s="271">
        <v>18300</v>
      </c>
      <c r="D153" s="202" t="s">
        <v>77</v>
      </c>
      <c r="E153" s="203">
        <v>16.2</v>
      </c>
      <c r="F153" s="196">
        <v>297000</v>
      </c>
      <c r="G153" s="196">
        <v>296000</v>
      </c>
      <c r="H153" s="197">
        <v>474</v>
      </c>
      <c r="I153" s="271">
        <v>140313</v>
      </c>
      <c r="J153" s="46"/>
      <c r="M153" s="472"/>
    </row>
    <row r="154" spans="1:18" s="42" customFormat="1" ht="12" customHeight="1" x14ac:dyDescent="0.25">
      <c r="A154" s="101"/>
      <c r="B154" s="102">
        <v>2018</v>
      </c>
      <c r="C154" s="271">
        <v>16000</v>
      </c>
      <c r="D154" s="202" t="s">
        <v>77</v>
      </c>
      <c r="E154" s="203">
        <v>16.2</v>
      </c>
      <c r="F154" s="196">
        <v>259000</v>
      </c>
      <c r="G154" s="196">
        <v>256950</v>
      </c>
      <c r="H154" s="197">
        <v>480</v>
      </c>
      <c r="I154" s="271">
        <v>123336</v>
      </c>
      <c r="J154" s="46"/>
      <c r="K154" s="46"/>
      <c r="M154" s="472"/>
    </row>
    <row r="155" spans="1:18" s="14" customFormat="1" ht="12" customHeight="1" x14ac:dyDescent="0.25">
      <c r="A155" s="101"/>
      <c r="B155" s="102">
        <v>2019</v>
      </c>
      <c r="C155" s="271">
        <v>16200</v>
      </c>
      <c r="D155" s="202" t="s">
        <v>77</v>
      </c>
      <c r="E155" s="203">
        <v>16.3</v>
      </c>
      <c r="F155" s="196">
        <v>264000</v>
      </c>
      <c r="G155" s="196">
        <v>263200</v>
      </c>
      <c r="H155" s="197">
        <v>470</v>
      </c>
      <c r="I155" s="271">
        <v>123704</v>
      </c>
      <c r="K155" s="302"/>
      <c r="M155" s="472"/>
    </row>
    <row r="156" spans="1:18" s="42" customFormat="1" ht="12" customHeight="1" x14ac:dyDescent="0.25">
      <c r="A156" s="101"/>
      <c r="B156" s="102">
        <v>2020</v>
      </c>
      <c r="C156" s="271">
        <v>16000</v>
      </c>
      <c r="D156" s="202" t="s">
        <v>77</v>
      </c>
      <c r="E156" s="203">
        <v>15.5</v>
      </c>
      <c r="F156" s="196">
        <v>248000</v>
      </c>
      <c r="G156" s="196">
        <v>247500</v>
      </c>
      <c r="H156" s="197">
        <v>470</v>
      </c>
      <c r="I156" s="271">
        <v>116325</v>
      </c>
      <c r="J156" s="471">
        <f t="shared" ref="J156:P156" si="12">(C156-C155)/C155</f>
        <v>-1.2345679012345678E-2</v>
      </c>
      <c r="K156" s="404" t="e">
        <f t="shared" si="12"/>
        <v>#VALUE!</v>
      </c>
      <c r="L156" s="404">
        <f t="shared" si="12"/>
        <v>-4.9079754601227037E-2</v>
      </c>
      <c r="M156" s="471">
        <f t="shared" si="12"/>
        <v>-6.0606060606060608E-2</v>
      </c>
      <c r="N156" s="404">
        <f t="shared" si="12"/>
        <v>-5.965045592705167E-2</v>
      </c>
      <c r="O156" s="404">
        <f t="shared" si="12"/>
        <v>0</v>
      </c>
      <c r="P156" s="404">
        <f t="shared" si="12"/>
        <v>-5.965045592705167E-2</v>
      </c>
      <c r="Q156" s="27"/>
    </row>
    <row r="157" spans="1:18" s="14" customFormat="1" ht="12" customHeight="1" x14ac:dyDescent="0.2">
      <c r="A157" s="42"/>
      <c r="B157" s="102"/>
      <c r="C157" s="271"/>
      <c r="D157" s="202"/>
      <c r="E157" s="140"/>
      <c r="F157" s="119"/>
      <c r="G157" s="119"/>
      <c r="H157" s="338"/>
      <c r="I157" s="268"/>
      <c r="M157" s="472"/>
    </row>
    <row r="158" spans="1:18" s="14" customFormat="1" ht="12" customHeight="1" x14ac:dyDescent="0.2">
      <c r="A158" s="110" t="s">
        <v>39</v>
      </c>
      <c r="B158" s="102">
        <v>2011</v>
      </c>
      <c r="C158" s="268">
        <v>25000</v>
      </c>
      <c r="D158" s="202" t="s">
        <v>77</v>
      </c>
      <c r="E158" s="140">
        <v>15.2</v>
      </c>
      <c r="F158" s="119">
        <v>380000</v>
      </c>
      <c r="G158" s="119">
        <v>380000</v>
      </c>
      <c r="H158" s="338">
        <v>447</v>
      </c>
      <c r="I158" s="268">
        <v>170019</v>
      </c>
      <c r="J158" s="27"/>
      <c r="M158" s="472"/>
    </row>
    <row r="159" spans="1:18" s="14" customFormat="1" ht="12" customHeight="1" x14ac:dyDescent="0.25">
      <c r="A159" s="101"/>
      <c r="B159" s="102">
        <v>2012</v>
      </c>
      <c r="C159" s="268">
        <v>24000</v>
      </c>
      <c r="D159" s="202" t="s">
        <v>77</v>
      </c>
      <c r="E159" s="140">
        <v>14.3</v>
      </c>
      <c r="F159" s="119">
        <v>344000</v>
      </c>
      <c r="G159" s="119">
        <v>344000</v>
      </c>
      <c r="H159" s="338">
        <v>588</v>
      </c>
      <c r="I159" s="268">
        <v>202297</v>
      </c>
      <c r="J159" s="27"/>
      <c r="M159" s="472"/>
    </row>
    <row r="160" spans="1:18" s="14" customFormat="1" ht="12" customHeight="1" x14ac:dyDescent="0.25">
      <c r="A160" s="101"/>
      <c r="B160" s="104">
        <v>2013</v>
      </c>
      <c r="C160" s="268">
        <v>24000</v>
      </c>
      <c r="D160" s="202" t="s">
        <v>77</v>
      </c>
      <c r="E160" s="140">
        <v>11.7</v>
      </c>
      <c r="F160" s="119">
        <v>280000</v>
      </c>
      <c r="G160" s="119">
        <v>280000</v>
      </c>
      <c r="H160" s="338">
        <v>516</v>
      </c>
      <c r="I160" s="268">
        <v>144418</v>
      </c>
      <c r="J160" s="27"/>
      <c r="M160" s="472"/>
    </row>
    <row r="161" spans="1:17" s="14" customFormat="1" ht="12" customHeight="1" x14ac:dyDescent="0.25">
      <c r="A161" s="101"/>
      <c r="B161" s="104">
        <v>2014</v>
      </c>
      <c r="C161" s="268">
        <v>24000</v>
      </c>
      <c r="D161" s="202" t="s">
        <v>77</v>
      </c>
      <c r="E161" s="140">
        <v>12</v>
      </c>
      <c r="F161" s="119">
        <v>288000</v>
      </c>
      <c r="G161" s="119">
        <v>288000</v>
      </c>
      <c r="H161" s="338">
        <v>812</v>
      </c>
      <c r="I161" s="268">
        <v>233860</v>
      </c>
      <c r="J161" s="27"/>
      <c r="M161" s="472"/>
    </row>
    <row r="162" spans="1:17" s="14" customFormat="1" ht="12" customHeight="1" x14ac:dyDescent="0.25">
      <c r="A162" s="101"/>
      <c r="B162" s="199">
        <v>2015</v>
      </c>
      <c r="C162" s="271">
        <v>24000</v>
      </c>
      <c r="D162" s="202" t="s">
        <v>77</v>
      </c>
      <c r="E162" s="203">
        <v>11.1</v>
      </c>
      <c r="F162" s="196">
        <v>267000</v>
      </c>
      <c r="G162" s="196">
        <v>264000</v>
      </c>
      <c r="H162" s="197">
        <v>680</v>
      </c>
      <c r="I162" s="271">
        <v>179412</v>
      </c>
      <c r="J162" s="27"/>
      <c r="M162" s="472"/>
    </row>
    <row r="163" spans="1:17" s="14" customFormat="1" ht="12" customHeight="1" x14ac:dyDescent="0.25">
      <c r="A163" s="101"/>
      <c r="B163" s="199">
        <v>2016</v>
      </c>
      <c r="C163" s="271">
        <v>22000</v>
      </c>
      <c r="D163" s="202" t="s">
        <v>77</v>
      </c>
      <c r="E163" s="203">
        <v>11.2</v>
      </c>
      <c r="F163" s="196">
        <v>247000</v>
      </c>
      <c r="G163" s="196">
        <v>247000</v>
      </c>
      <c r="H163" s="197">
        <v>743</v>
      </c>
      <c r="I163" s="271">
        <v>183626</v>
      </c>
      <c r="J163" s="27"/>
      <c r="M163" s="472"/>
    </row>
    <row r="164" spans="1:17" s="14" customFormat="1" ht="12" customHeight="1" x14ac:dyDescent="0.25">
      <c r="A164" s="101"/>
      <c r="B164" s="104">
        <v>2017</v>
      </c>
      <c r="C164" s="328">
        <v>21000</v>
      </c>
      <c r="D164" s="200" t="s">
        <v>95</v>
      </c>
      <c r="E164" s="203">
        <v>12.2</v>
      </c>
      <c r="F164" s="325">
        <v>256000</v>
      </c>
      <c r="G164" s="196">
        <v>254000</v>
      </c>
      <c r="H164" s="197">
        <v>966</v>
      </c>
      <c r="I164" s="328">
        <v>245418</v>
      </c>
      <c r="J164" s="46"/>
      <c r="M164" s="472"/>
    </row>
    <row r="165" spans="1:17" s="42" customFormat="1" ht="12" customHeight="1" x14ac:dyDescent="0.2">
      <c r="B165" s="199">
        <v>2018</v>
      </c>
      <c r="C165" s="337">
        <v>20000</v>
      </c>
      <c r="D165" s="341" t="s">
        <v>77</v>
      </c>
      <c r="E165" s="342">
        <v>11</v>
      </c>
      <c r="F165" s="331">
        <v>220000</v>
      </c>
      <c r="G165" s="331">
        <v>218920</v>
      </c>
      <c r="H165" s="343">
        <v>826</v>
      </c>
      <c r="I165" s="337">
        <v>180877</v>
      </c>
      <c r="J165" s="46"/>
      <c r="K165" s="46"/>
      <c r="M165" s="472"/>
    </row>
    <row r="166" spans="1:17" s="14" customFormat="1" ht="12" customHeight="1" x14ac:dyDescent="0.25">
      <c r="A166" s="181"/>
      <c r="B166" s="199">
        <v>2019</v>
      </c>
      <c r="C166" s="337">
        <v>20000</v>
      </c>
      <c r="D166" s="341" t="s">
        <v>77</v>
      </c>
      <c r="E166" s="342">
        <v>11.7</v>
      </c>
      <c r="F166" s="331">
        <v>234000</v>
      </c>
      <c r="G166" s="331">
        <v>231900</v>
      </c>
      <c r="H166" s="343">
        <v>743</v>
      </c>
      <c r="I166" s="337">
        <v>172317</v>
      </c>
      <c r="K166" s="302"/>
      <c r="M166" s="472"/>
    </row>
    <row r="167" spans="1:17" s="42" customFormat="1" ht="12" customHeight="1" x14ac:dyDescent="0.25">
      <c r="A167" s="106"/>
      <c r="B167" s="297">
        <v>2020</v>
      </c>
      <c r="C167" s="507">
        <v>19000</v>
      </c>
      <c r="D167" s="513" t="s">
        <v>77</v>
      </c>
      <c r="E167" s="509">
        <v>11.6</v>
      </c>
      <c r="F167" s="508">
        <v>220000</v>
      </c>
      <c r="G167" s="508">
        <v>218450</v>
      </c>
      <c r="H167" s="510">
        <v>879</v>
      </c>
      <c r="I167" s="507">
        <v>192004</v>
      </c>
      <c r="J167" s="471">
        <f t="shared" ref="J167:P167" si="13">(C167-C166)/C166</f>
        <v>-0.05</v>
      </c>
      <c r="K167" s="404" t="e">
        <f t="shared" si="13"/>
        <v>#VALUE!</v>
      </c>
      <c r="L167" s="404">
        <f t="shared" si="13"/>
        <v>-8.5470085470085166E-3</v>
      </c>
      <c r="M167" s="471">
        <f t="shared" si="13"/>
        <v>-5.9829059829059832E-2</v>
      </c>
      <c r="N167" s="404">
        <f t="shared" si="13"/>
        <v>-5.7999137559292799E-2</v>
      </c>
      <c r="O167" s="404">
        <f t="shared" si="13"/>
        <v>0.18304172274562583</v>
      </c>
      <c r="P167" s="404">
        <f t="shared" si="13"/>
        <v>0.11424873924221057</v>
      </c>
      <c r="Q167" s="27"/>
    </row>
    <row r="168" spans="1:17" s="14" customFormat="1" ht="3.75" customHeight="1" x14ac:dyDescent="0.2">
      <c r="A168" s="42"/>
      <c r="B168" s="102"/>
      <c r="C168" s="268"/>
      <c r="D168" s="202"/>
      <c r="E168" s="140"/>
      <c r="F168" s="119"/>
      <c r="G168" s="119"/>
      <c r="H168" s="338"/>
      <c r="I168" s="268"/>
      <c r="M168" s="472"/>
    </row>
    <row r="169" spans="1:17" s="14" customFormat="1" ht="12" customHeight="1" x14ac:dyDescent="0.2">
      <c r="A169" s="110" t="s">
        <v>40</v>
      </c>
      <c r="B169" s="102">
        <v>2011</v>
      </c>
      <c r="C169" s="268">
        <v>47500</v>
      </c>
      <c r="D169" s="202" t="s">
        <v>77</v>
      </c>
      <c r="E169" s="140">
        <v>16.3</v>
      </c>
      <c r="F169" s="119">
        <v>773000</v>
      </c>
      <c r="G169" s="119">
        <v>773000</v>
      </c>
      <c r="H169" s="338">
        <v>374</v>
      </c>
      <c r="I169" s="268">
        <v>289197</v>
      </c>
      <c r="J169" s="27"/>
      <c r="M169" s="472"/>
    </row>
    <row r="170" spans="1:17" s="14" customFormat="1" ht="12" customHeight="1" x14ac:dyDescent="0.25">
      <c r="A170" s="101"/>
      <c r="B170" s="102">
        <v>2012</v>
      </c>
      <c r="C170" s="268">
        <v>47000</v>
      </c>
      <c r="D170" s="202" t="s">
        <v>77</v>
      </c>
      <c r="E170" s="140">
        <v>15.2</v>
      </c>
      <c r="F170" s="119">
        <v>713000</v>
      </c>
      <c r="G170" s="119">
        <v>713000</v>
      </c>
      <c r="H170" s="338">
        <v>464</v>
      </c>
      <c r="I170" s="268">
        <v>330694</v>
      </c>
      <c r="J170" s="27"/>
      <c r="M170" s="472"/>
    </row>
    <row r="171" spans="1:17" s="14" customFormat="1" ht="12" customHeight="1" x14ac:dyDescent="0.25">
      <c r="A171" s="101"/>
      <c r="B171" s="104">
        <v>2013</v>
      </c>
      <c r="C171" s="268">
        <v>46000</v>
      </c>
      <c r="D171" s="202" t="s">
        <v>77</v>
      </c>
      <c r="E171" s="140">
        <v>14.1</v>
      </c>
      <c r="F171" s="119">
        <v>648000</v>
      </c>
      <c r="G171" s="119">
        <v>648000</v>
      </c>
      <c r="H171" s="338">
        <v>429</v>
      </c>
      <c r="I171" s="268">
        <v>278283</v>
      </c>
      <c r="J171" s="27"/>
      <c r="M171" s="472"/>
    </row>
    <row r="172" spans="1:17" s="14" customFormat="1" ht="12" customHeight="1" x14ac:dyDescent="0.25">
      <c r="A172" s="101"/>
      <c r="B172" s="104">
        <v>2014</v>
      </c>
      <c r="C172" s="268">
        <v>44000</v>
      </c>
      <c r="D172" s="202" t="s">
        <v>77</v>
      </c>
      <c r="E172" s="140">
        <v>14.1</v>
      </c>
      <c r="F172" s="119">
        <v>620000</v>
      </c>
      <c r="G172" s="119">
        <v>620000</v>
      </c>
      <c r="H172" s="338">
        <v>575</v>
      </c>
      <c r="I172" s="268">
        <v>356526</v>
      </c>
      <c r="J172" s="27"/>
      <c r="M172" s="472"/>
    </row>
    <row r="173" spans="1:17" s="14" customFormat="1" ht="12" customHeight="1" x14ac:dyDescent="0.25">
      <c r="A173" s="101"/>
      <c r="B173" s="199">
        <v>2015</v>
      </c>
      <c r="C173" s="271">
        <v>43000</v>
      </c>
      <c r="D173" s="202" t="s">
        <v>77</v>
      </c>
      <c r="E173" s="203">
        <v>14.1</v>
      </c>
      <c r="F173" s="196">
        <v>607600</v>
      </c>
      <c r="G173" s="196">
        <v>604600</v>
      </c>
      <c r="H173" s="197">
        <v>562</v>
      </c>
      <c r="I173" s="271">
        <v>339613</v>
      </c>
      <c r="J173" s="27"/>
      <c r="M173" s="472"/>
    </row>
    <row r="174" spans="1:17" s="14" customFormat="1" ht="12" customHeight="1" x14ac:dyDescent="0.25">
      <c r="A174" s="101"/>
      <c r="B174" s="199">
        <v>2016</v>
      </c>
      <c r="C174" s="271">
        <v>40200</v>
      </c>
      <c r="D174" s="202" t="s">
        <v>77</v>
      </c>
      <c r="E174" s="203">
        <v>14.2</v>
      </c>
      <c r="F174" s="196">
        <v>569000</v>
      </c>
      <c r="G174" s="196">
        <v>569000</v>
      </c>
      <c r="H174" s="197">
        <v>616</v>
      </c>
      <c r="I174" s="271">
        <v>350285</v>
      </c>
      <c r="J174" s="27"/>
      <c r="M174" s="472"/>
    </row>
    <row r="175" spans="1:17" s="14" customFormat="1" ht="12" customHeight="1" x14ac:dyDescent="0.25">
      <c r="A175" s="101"/>
      <c r="B175" s="199">
        <v>2017</v>
      </c>
      <c r="C175" s="271">
        <v>39300</v>
      </c>
      <c r="D175" s="202" t="s">
        <v>77</v>
      </c>
      <c r="E175" s="203">
        <v>14.1</v>
      </c>
      <c r="F175" s="196">
        <v>553000</v>
      </c>
      <c r="G175" s="196">
        <v>550000</v>
      </c>
      <c r="H175" s="197">
        <v>701</v>
      </c>
      <c r="I175" s="271">
        <v>385731</v>
      </c>
      <c r="J175" s="46"/>
      <c r="M175" s="472"/>
    </row>
    <row r="176" spans="1:17" s="42" customFormat="1" ht="12" customHeight="1" x14ac:dyDescent="0.25">
      <c r="A176" s="101"/>
      <c r="B176" s="104">
        <v>2018</v>
      </c>
      <c r="C176" s="271">
        <v>36000</v>
      </c>
      <c r="D176" s="202" t="s">
        <v>77</v>
      </c>
      <c r="E176" s="203">
        <v>13.3</v>
      </c>
      <c r="F176" s="196">
        <v>479000</v>
      </c>
      <c r="G176" s="196">
        <v>475870</v>
      </c>
      <c r="H176" s="197">
        <v>639</v>
      </c>
      <c r="I176" s="271">
        <v>304213</v>
      </c>
      <c r="J176" s="46"/>
      <c r="K176" s="46"/>
      <c r="M176" s="472"/>
    </row>
    <row r="177" spans="1:18" s="14" customFormat="1" ht="12" customHeight="1" x14ac:dyDescent="0.25">
      <c r="A177" s="101"/>
      <c r="B177" s="104">
        <v>2019</v>
      </c>
      <c r="C177" s="271">
        <v>36200</v>
      </c>
      <c r="D177" s="202" t="s">
        <v>77</v>
      </c>
      <c r="E177" s="203">
        <v>13.8</v>
      </c>
      <c r="F177" s="196">
        <v>498000</v>
      </c>
      <c r="G177" s="196">
        <v>495100</v>
      </c>
      <c r="H177" s="197">
        <v>598</v>
      </c>
      <c r="I177" s="271">
        <v>296021</v>
      </c>
      <c r="K177" s="302"/>
      <c r="L177" s="190"/>
      <c r="M177" s="472"/>
    </row>
    <row r="178" spans="1:18" s="42" customFormat="1" ht="12" customHeight="1" x14ac:dyDescent="0.25">
      <c r="A178" s="101"/>
      <c r="B178" s="104">
        <v>2020</v>
      </c>
      <c r="C178" s="271">
        <v>35000</v>
      </c>
      <c r="D178" s="202" t="s">
        <v>77</v>
      </c>
      <c r="E178" s="203">
        <v>13.4</v>
      </c>
      <c r="F178" s="196">
        <v>468000</v>
      </c>
      <c r="G178" s="196">
        <v>465950</v>
      </c>
      <c r="H178" s="197">
        <v>662</v>
      </c>
      <c r="I178" s="271">
        <v>309329</v>
      </c>
      <c r="J178" s="471">
        <f t="shared" ref="J178:P178" si="14">(C178-C177)/C177</f>
        <v>-3.3149171270718231E-2</v>
      </c>
      <c r="K178" s="404" t="e">
        <f t="shared" si="14"/>
        <v>#VALUE!</v>
      </c>
      <c r="L178" s="404">
        <f t="shared" si="14"/>
        <v>-2.8985507246376836E-2</v>
      </c>
      <c r="M178" s="471">
        <f t="shared" si="14"/>
        <v>-6.0240963855421686E-2</v>
      </c>
      <c r="N178" s="404">
        <f t="shared" si="14"/>
        <v>-5.8876994546556254E-2</v>
      </c>
      <c r="O178" s="404">
        <f t="shared" si="14"/>
        <v>0.10702341137123746</v>
      </c>
      <c r="P178" s="404">
        <f t="shared" si="14"/>
        <v>4.4956269994358505E-2</v>
      </c>
      <c r="Q178" s="27">
        <f>C178</f>
        <v>35000</v>
      </c>
      <c r="R178" s="27">
        <f>F178</f>
        <v>468000</v>
      </c>
    </row>
    <row r="179" spans="1:18" s="14" customFormat="1" ht="12" customHeight="1" x14ac:dyDescent="0.2">
      <c r="A179" s="42"/>
      <c r="B179" s="102"/>
      <c r="C179" s="268"/>
      <c r="D179" s="202"/>
      <c r="E179" s="140"/>
      <c r="F179" s="119"/>
      <c r="G179" s="119"/>
      <c r="H179" s="338"/>
      <c r="I179" s="268"/>
      <c r="K179" s="78"/>
      <c r="L179" s="190"/>
      <c r="M179" s="472"/>
    </row>
    <row r="180" spans="1:18" s="14" customFormat="1" ht="12" customHeight="1" x14ac:dyDescent="0.2">
      <c r="A180" s="240" t="s">
        <v>163</v>
      </c>
      <c r="B180" s="102">
        <v>2011</v>
      </c>
      <c r="C180" s="268">
        <v>10000</v>
      </c>
      <c r="D180" s="202" t="s">
        <v>77</v>
      </c>
      <c r="E180" s="140">
        <v>19.5</v>
      </c>
      <c r="F180" s="119">
        <v>195000</v>
      </c>
      <c r="G180" s="119">
        <v>195000</v>
      </c>
      <c r="H180" s="338">
        <v>311</v>
      </c>
      <c r="I180" s="268">
        <v>60709</v>
      </c>
      <c r="J180" s="27"/>
      <c r="K180" s="78"/>
      <c r="L180" s="190"/>
      <c r="M180" s="472"/>
    </row>
    <row r="181" spans="1:18" s="14" customFormat="1" ht="12" customHeight="1" x14ac:dyDescent="0.25">
      <c r="A181" s="101"/>
      <c r="B181" s="102">
        <v>2012</v>
      </c>
      <c r="C181" s="268">
        <v>8700</v>
      </c>
      <c r="D181" s="202" t="s">
        <v>77</v>
      </c>
      <c r="E181" s="140">
        <v>18.7</v>
      </c>
      <c r="F181" s="119">
        <v>163000</v>
      </c>
      <c r="G181" s="119">
        <v>163000</v>
      </c>
      <c r="H181" s="338">
        <v>370</v>
      </c>
      <c r="I181" s="268">
        <v>60242</v>
      </c>
      <c r="J181" s="27"/>
      <c r="K181" s="78"/>
      <c r="L181" s="190"/>
      <c r="M181" s="472"/>
    </row>
    <row r="182" spans="1:18" s="14" customFormat="1" ht="12" customHeight="1" x14ac:dyDescent="0.25">
      <c r="A182" s="101"/>
      <c r="B182" s="104">
        <v>2013</v>
      </c>
      <c r="C182" s="268">
        <v>8100</v>
      </c>
      <c r="D182" s="202" t="s">
        <v>77</v>
      </c>
      <c r="E182" s="140">
        <v>21.9</v>
      </c>
      <c r="F182" s="119">
        <v>177000</v>
      </c>
      <c r="G182" s="119">
        <v>177000</v>
      </c>
      <c r="H182" s="338">
        <v>348</v>
      </c>
      <c r="I182" s="268">
        <v>61516</v>
      </c>
      <c r="J182" s="27"/>
      <c r="K182" s="78"/>
      <c r="L182" s="190"/>
      <c r="M182" s="472"/>
    </row>
    <row r="183" spans="1:18" s="14" customFormat="1" ht="12" customHeight="1" x14ac:dyDescent="0.25">
      <c r="A183" s="101"/>
      <c r="B183" s="104">
        <v>2014</v>
      </c>
      <c r="C183" s="268">
        <v>7800</v>
      </c>
      <c r="D183" s="202" t="s">
        <v>77</v>
      </c>
      <c r="E183" s="140">
        <v>19.7</v>
      </c>
      <c r="F183" s="119">
        <v>154000</v>
      </c>
      <c r="G183" s="119">
        <v>154000</v>
      </c>
      <c r="H183" s="338">
        <v>416</v>
      </c>
      <c r="I183" s="268">
        <v>64094</v>
      </c>
      <c r="J183" s="27"/>
      <c r="K183" s="78"/>
      <c r="L183" s="190"/>
      <c r="M183" s="472"/>
    </row>
    <row r="184" spans="1:18" s="14" customFormat="1" ht="12" customHeight="1" x14ac:dyDescent="0.25">
      <c r="A184" s="101"/>
      <c r="B184" s="199">
        <v>2015</v>
      </c>
      <c r="C184" s="271">
        <v>7800</v>
      </c>
      <c r="D184" s="202" t="s">
        <v>77</v>
      </c>
      <c r="E184" s="203">
        <v>21.5</v>
      </c>
      <c r="F184" s="196">
        <v>168000</v>
      </c>
      <c r="G184" s="196">
        <v>161000</v>
      </c>
      <c r="H184" s="197">
        <v>493</v>
      </c>
      <c r="I184" s="271">
        <v>79451</v>
      </c>
      <c r="J184" s="27"/>
      <c r="K184" s="78"/>
      <c r="L184" s="190"/>
      <c r="M184" s="472"/>
    </row>
    <row r="185" spans="1:18" s="42" customFormat="1" ht="12" customHeight="1" x14ac:dyDescent="0.25">
      <c r="A185" s="101"/>
      <c r="B185" s="199">
        <v>2016</v>
      </c>
      <c r="C185" s="271">
        <v>7800</v>
      </c>
      <c r="D185" s="202" t="s">
        <v>77</v>
      </c>
      <c r="E185" s="203">
        <v>18.100000000000001</v>
      </c>
      <c r="F185" s="196">
        <v>141000</v>
      </c>
      <c r="G185" s="196">
        <v>141000</v>
      </c>
      <c r="H185" s="197">
        <v>500</v>
      </c>
      <c r="I185" s="271">
        <v>70431</v>
      </c>
      <c r="J185" s="27"/>
      <c r="K185" s="78"/>
      <c r="L185" s="190"/>
      <c r="M185" s="472"/>
    </row>
    <row r="186" spans="1:18" s="42" customFormat="1" ht="12" customHeight="1" x14ac:dyDescent="0.25">
      <c r="A186" s="101"/>
      <c r="B186" s="199">
        <v>2017</v>
      </c>
      <c r="C186" s="271">
        <v>8000</v>
      </c>
      <c r="D186" s="202" t="s">
        <v>77</v>
      </c>
      <c r="E186" s="203">
        <v>20.3</v>
      </c>
      <c r="F186" s="196">
        <v>162000</v>
      </c>
      <c r="G186" s="196">
        <v>160000</v>
      </c>
      <c r="H186" s="197">
        <v>420</v>
      </c>
      <c r="I186" s="271">
        <v>67251</v>
      </c>
      <c r="J186" s="46"/>
      <c r="K186" s="78"/>
      <c r="L186" s="190"/>
      <c r="M186" s="472"/>
    </row>
    <row r="187" spans="1:18" s="42" customFormat="1" ht="12" customHeight="1" x14ac:dyDescent="0.25">
      <c r="A187" s="101"/>
      <c r="B187" s="104">
        <v>2018</v>
      </c>
      <c r="C187" s="271" t="s">
        <v>77</v>
      </c>
      <c r="D187" s="202" t="s">
        <v>77</v>
      </c>
      <c r="E187" s="203" t="s">
        <v>77</v>
      </c>
      <c r="F187" s="196" t="s">
        <v>77</v>
      </c>
      <c r="G187" s="196" t="s">
        <v>77</v>
      </c>
      <c r="H187" s="197" t="s">
        <v>77</v>
      </c>
      <c r="I187" s="271" t="s">
        <v>77</v>
      </c>
      <c r="J187" s="46"/>
      <c r="K187" s="46"/>
      <c r="M187" s="472"/>
    </row>
    <row r="188" spans="1:18" s="42" customFormat="1" ht="12" customHeight="1" x14ac:dyDescent="0.25">
      <c r="A188" s="101"/>
      <c r="B188" s="104">
        <v>2019</v>
      </c>
      <c r="C188" s="271" t="s">
        <v>77</v>
      </c>
      <c r="D188" s="202" t="s">
        <v>77</v>
      </c>
      <c r="E188" s="203" t="s">
        <v>77</v>
      </c>
      <c r="F188" s="196" t="s">
        <v>77</v>
      </c>
      <c r="G188" s="196" t="s">
        <v>77</v>
      </c>
      <c r="H188" s="197" t="s">
        <v>77</v>
      </c>
      <c r="I188" s="271" t="s">
        <v>77</v>
      </c>
      <c r="J188" s="192"/>
      <c r="K188" s="264"/>
      <c r="M188" s="472"/>
    </row>
    <row r="189" spans="1:18" s="42" customFormat="1" ht="12" customHeight="1" x14ac:dyDescent="0.25">
      <c r="A189" s="101"/>
      <c r="B189" s="104">
        <v>2020</v>
      </c>
      <c r="C189" s="271" t="s">
        <v>77</v>
      </c>
      <c r="D189" s="202" t="s">
        <v>77</v>
      </c>
      <c r="E189" s="203" t="s">
        <v>77</v>
      </c>
      <c r="F189" s="196" t="s">
        <v>77</v>
      </c>
      <c r="G189" s="196" t="s">
        <v>77</v>
      </c>
      <c r="H189" s="197" t="s">
        <v>77</v>
      </c>
      <c r="I189" s="271" t="s">
        <v>77</v>
      </c>
      <c r="J189" s="192"/>
      <c r="K189" s="264"/>
      <c r="M189" s="472"/>
    </row>
    <row r="190" spans="1:18" s="42" customFormat="1" ht="12" customHeight="1" x14ac:dyDescent="0.2">
      <c r="B190" s="102"/>
      <c r="C190" s="268"/>
      <c r="D190" s="202"/>
      <c r="E190" s="140"/>
      <c r="F190" s="119"/>
      <c r="G190" s="119"/>
      <c r="H190" s="338"/>
      <c r="I190" s="268"/>
      <c r="J190" s="192"/>
      <c r="K190" s="264"/>
      <c r="M190" s="472"/>
    </row>
    <row r="191" spans="1:18" s="42" customFormat="1" ht="12" customHeight="1" x14ac:dyDescent="0.2">
      <c r="A191" s="110" t="s">
        <v>164</v>
      </c>
      <c r="B191" s="102">
        <v>2011</v>
      </c>
      <c r="C191" s="268">
        <v>4000</v>
      </c>
      <c r="D191" s="202" t="s">
        <v>77</v>
      </c>
      <c r="E191" s="140">
        <v>14.3</v>
      </c>
      <c r="F191" s="119">
        <v>57000</v>
      </c>
      <c r="G191" s="119">
        <v>57000</v>
      </c>
      <c r="H191" s="338">
        <v>651</v>
      </c>
      <c r="I191" s="268">
        <v>37096</v>
      </c>
      <c r="J191" s="192"/>
      <c r="K191" s="264"/>
      <c r="M191" s="472"/>
    </row>
    <row r="192" spans="1:18" s="42" customFormat="1" ht="12" customHeight="1" x14ac:dyDescent="0.25">
      <c r="A192" s="101"/>
      <c r="B192" s="102">
        <v>2012</v>
      </c>
      <c r="C192" s="268">
        <v>2800</v>
      </c>
      <c r="D192" s="202" t="s">
        <v>77</v>
      </c>
      <c r="E192" s="140">
        <v>16.100000000000001</v>
      </c>
      <c r="F192" s="119">
        <v>45000</v>
      </c>
      <c r="G192" s="119">
        <v>45000</v>
      </c>
      <c r="H192" s="338">
        <v>658</v>
      </c>
      <c r="I192" s="268">
        <v>29610</v>
      </c>
      <c r="J192" s="192"/>
      <c r="K192" s="264"/>
      <c r="M192" s="472"/>
    </row>
    <row r="193" spans="1:13" s="42" customFormat="1" ht="12" customHeight="1" x14ac:dyDescent="0.25">
      <c r="A193" s="101"/>
      <c r="B193" s="104">
        <v>2013</v>
      </c>
      <c r="C193" s="268">
        <v>2800</v>
      </c>
      <c r="D193" s="202" t="s">
        <v>77</v>
      </c>
      <c r="E193" s="140">
        <v>15.4</v>
      </c>
      <c r="F193" s="119">
        <v>43000</v>
      </c>
      <c r="G193" s="119">
        <v>43000</v>
      </c>
      <c r="H193" s="338">
        <v>571</v>
      </c>
      <c r="I193" s="268">
        <v>24542</v>
      </c>
      <c r="J193" s="192"/>
      <c r="K193" s="264"/>
      <c r="M193" s="472"/>
    </row>
    <row r="194" spans="1:13" s="42" customFormat="1" ht="12" customHeight="1" x14ac:dyDescent="0.25">
      <c r="A194" s="101"/>
      <c r="B194" s="104">
        <v>2014</v>
      </c>
      <c r="C194" s="268">
        <v>2600</v>
      </c>
      <c r="D194" s="202" t="s">
        <v>77</v>
      </c>
      <c r="E194" s="140">
        <v>13.5</v>
      </c>
      <c r="F194" s="119">
        <v>35000</v>
      </c>
      <c r="G194" s="119">
        <v>35000</v>
      </c>
      <c r="H194" s="338">
        <v>701</v>
      </c>
      <c r="I194" s="268">
        <v>24548</v>
      </c>
      <c r="J194" s="192"/>
      <c r="K194" s="264"/>
      <c r="M194" s="472"/>
    </row>
    <row r="195" spans="1:13" s="42" customFormat="1" ht="12" customHeight="1" x14ac:dyDescent="0.25">
      <c r="A195" s="101"/>
      <c r="B195" s="199">
        <v>2015</v>
      </c>
      <c r="C195" s="271">
        <v>2600</v>
      </c>
      <c r="D195" s="202" t="s">
        <v>77</v>
      </c>
      <c r="E195" s="203">
        <v>11.5</v>
      </c>
      <c r="F195" s="196">
        <v>30000</v>
      </c>
      <c r="G195" s="196">
        <v>30000</v>
      </c>
      <c r="H195" s="197">
        <v>479</v>
      </c>
      <c r="I195" s="271">
        <v>14360</v>
      </c>
      <c r="J195" s="192"/>
      <c r="K195" s="264"/>
      <c r="M195" s="472"/>
    </row>
    <row r="196" spans="1:13" s="42" customFormat="1" ht="12" customHeight="1" x14ac:dyDescent="0.25">
      <c r="A196" s="101"/>
      <c r="B196" s="199">
        <v>2016</v>
      </c>
      <c r="C196" s="271">
        <v>2600</v>
      </c>
      <c r="D196" s="202" t="s">
        <v>77</v>
      </c>
      <c r="E196" s="203">
        <v>13.1</v>
      </c>
      <c r="F196" s="196">
        <v>34000</v>
      </c>
      <c r="G196" s="196">
        <v>34000</v>
      </c>
      <c r="H196" s="197">
        <v>748</v>
      </c>
      <c r="I196" s="271">
        <v>25422</v>
      </c>
      <c r="J196" s="192"/>
      <c r="K196" s="264"/>
      <c r="M196" s="472"/>
    </row>
    <row r="197" spans="1:13" s="42" customFormat="1" ht="12" customHeight="1" x14ac:dyDescent="0.25">
      <c r="A197" s="101"/>
      <c r="B197" s="199">
        <v>2017</v>
      </c>
      <c r="C197" s="271">
        <v>2500</v>
      </c>
      <c r="D197" s="202" t="s">
        <v>77</v>
      </c>
      <c r="E197" s="203">
        <v>13.2</v>
      </c>
      <c r="F197" s="196">
        <v>33000</v>
      </c>
      <c r="G197" s="196">
        <v>32000</v>
      </c>
      <c r="H197" s="197">
        <v>905</v>
      </c>
      <c r="I197" s="271">
        <v>28950</v>
      </c>
      <c r="J197" s="192"/>
      <c r="K197" s="264"/>
      <c r="M197" s="472"/>
    </row>
    <row r="198" spans="1:13" s="42" customFormat="1" ht="12" customHeight="1" x14ac:dyDescent="0.25">
      <c r="A198" s="101"/>
      <c r="B198" s="104">
        <v>2018</v>
      </c>
      <c r="C198" s="271" t="s">
        <v>77</v>
      </c>
      <c r="D198" s="202" t="s">
        <v>77</v>
      </c>
      <c r="E198" s="203" t="s">
        <v>77</v>
      </c>
      <c r="F198" s="196" t="s">
        <v>77</v>
      </c>
      <c r="G198" s="196" t="s">
        <v>77</v>
      </c>
      <c r="H198" s="197" t="s">
        <v>77</v>
      </c>
      <c r="I198" s="271" t="s">
        <v>93</v>
      </c>
      <c r="J198" s="46"/>
      <c r="K198" s="46"/>
      <c r="M198" s="472"/>
    </row>
    <row r="199" spans="1:13" s="42" customFormat="1" ht="12" customHeight="1" x14ac:dyDescent="0.25">
      <c r="A199" s="101"/>
      <c r="B199" s="104">
        <v>2019</v>
      </c>
      <c r="C199" s="271" t="s">
        <v>77</v>
      </c>
      <c r="D199" s="202" t="s">
        <v>77</v>
      </c>
      <c r="E199" s="203" t="s">
        <v>77</v>
      </c>
      <c r="F199" s="196" t="s">
        <v>77</v>
      </c>
      <c r="G199" s="196" t="s">
        <v>77</v>
      </c>
      <c r="H199" s="197" t="s">
        <v>77</v>
      </c>
      <c r="I199" s="271" t="s">
        <v>93</v>
      </c>
      <c r="M199" s="472"/>
    </row>
    <row r="200" spans="1:13" s="42" customFormat="1" ht="12" customHeight="1" x14ac:dyDescent="0.25">
      <c r="A200" s="101"/>
      <c r="B200" s="104">
        <v>2020</v>
      </c>
      <c r="C200" s="271" t="s">
        <v>77</v>
      </c>
      <c r="D200" s="202" t="s">
        <v>77</v>
      </c>
      <c r="E200" s="203" t="s">
        <v>77</v>
      </c>
      <c r="F200" s="196" t="s">
        <v>77</v>
      </c>
      <c r="G200" s="196" t="s">
        <v>77</v>
      </c>
      <c r="H200" s="197" t="s">
        <v>77</v>
      </c>
      <c r="I200" s="271" t="s">
        <v>93</v>
      </c>
      <c r="M200" s="472"/>
    </row>
    <row r="201" spans="1:13" s="42" customFormat="1" ht="12" customHeight="1" x14ac:dyDescent="0.2">
      <c r="B201" s="102"/>
      <c r="C201" s="268"/>
      <c r="D201" s="202"/>
      <c r="E201" s="140"/>
      <c r="F201" s="119"/>
      <c r="G201" s="119"/>
      <c r="H201" s="338"/>
      <c r="I201" s="268"/>
      <c r="M201" s="472"/>
    </row>
    <row r="202" spans="1:13" s="42" customFormat="1" ht="12" customHeight="1" x14ac:dyDescent="0.2">
      <c r="A202" s="110" t="s">
        <v>42</v>
      </c>
      <c r="B202" s="102">
        <v>2011</v>
      </c>
      <c r="C202" s="268">
        <v>14000</v>
      </c>
      <c r="D202" s="202" t="s">
        <v>77</v>
      </c>
      <c r="E202" s="140">
        <v>18</v>
      </c>
      <c r="F202" s="119">
        <v>252000</v>
      </c>
      <c r="G202" s="119">
        <v>252000</v>
      </c>
      <c r="H202" s="338">
        <v>388</v>
      </c>
      <c r="I202" s="268">
        <v>97805</v>
      </c>
      <c r="J202" s="27"/>
      <c r="M202" s="472"/>
    </row>
    <row r="203" spans="1:13" s="42" customFormat="1" ht="12" customHeight="1" x14ac:dyDescent="0.25">
      <c r="A203" s="101"/>
      <c r="B203" s="102">
        <v>2012</v>
      </c>
      <c r="C203" s="268">
        <v>11500</v>
      </c>
      <c r="D203" s="202" t="s">
        <v>77</v>
      </c>
      <c r="E203" s="140">
        <v>18.100000000000001</v>
      </c>
      <c r="F203" s="119">
        <v>208000</v>
      </c>
      <c r="G203" s="119">
        <v>208000</v>
      </c>
      <c r="H203" s="338">
        <v>432</v>
      </c>
      <c r="I203" s="268">
        <v>89852</v>
      </c>
      <c r="J203" s="27"/>
      <c r="M203" s="472"/>
    </row>
    <row r="204" spans="1:13" s="42" customFormat="1" ht="12" customHeight="1" x14ac:dyDescent="0.25">
      <c r="A204" s="101"/>
      <c r="B204" s="102">
        <v>2013</v>
      </c>
      <c r="C204" s="268">
        <v>10900</v>
      </c>
      <c r="D204" s="202" t="s">
        <v>77</v>
      </c>
      <c r="E204" s="140">
        <v>20.2</v>
      </c>
      <c r="F204" s="119">
        <v>220000</v>
      </c>
      <c r="G204" s="119">
        <v>220000</v>
      </c>
      <c r="H204" s="338">
        <v>391</v>
      </c>
      <c r="I204" s="268">
        <v>86058</v>
      </c>
      <c r="J204" s="27"/>
      <c r="M204" s="472"/>
    </row>
    <row r="205" spans="1:13" s="42" customFormat="1" ht="12" customHeight="1" x14ac:dyDescent="0.25">
      <c r="A205" s="101"/>
      <c r="B205" s="102">
        <v>2014</v>
      </c>
      <c r="C205" s="268">
        <v>10400</v>
      </c>
      <c r="D205" s="202" t="s">
        <v>77</v>
      </c>
      <c r="E205" s="140">
        <v>18.2</v>
      </c>
      <c r="F205" s="119">
        <v>189000</v>
      </c>
      <c r="G205" s="119">
        <v>189000</v>
      </c>
      <c r="H205" s="338">
        <v>469</v>
      </c>
      <c r="I205" s="268">
        <v>88642</v>
      </c>
      <c r="J205" s="27"/>
      <c r="M205" s="472"/>
    </row>
    <row r="206" spans="1:13" s="42" customFormat="1" ht="12" customHeight="1" x14ac:dyDescent="0.25">
      <c r="A206" s="101"/>
      <c r="B206" s="199">
        <v>2015</v>
      </c>
      <c r="C206" s="271">
        <v>10400</v>
      </c>
      <c r="D206" s="202" t="s">
        <v>77</v>
      </c>
      <c r="E206" s="203">
        <v>19</v>
      </c>
      <c r="F206" s="196">
        <v>198000</v>
      </c>
      <c r="G206" s="196">
        <v>191000</v>
      </c>
      <c r="H206" s="197">
        <v>491</v>
      </c>
      <c r="I206" s="271">
        <v>93811</v>
      </c>
      <c r="J206" s="27"/>
      <c r="M206" s="472"/>
    </row>
    <row r="207" spans="1:13" s="42" customFormat="1" ht="12" customHeight="1" x14ac:dyDescent="0.25">
      <c r="A207" s="101"/>
      <c r="B207" s="198">
        <v>2016</v>
      </c>
      <c r="C207" s="271">
        <v>10400</v>
      </c>
      <c r="D207" s="202" t="s">
        <v>77</v>
      </c>
      <c r="E207" s="203">
        <v>16.8</v>
      </c>
      <c r="F207" s="196">
        <v>175000</v>
      </c>
      <c r="G207" s="196">
        <v>175000</v>
      </c>
      <c r="H207" s="197">
        <v>548</v>
      </c>
      <c r="I207" s="271">
        <v>95853</v>
      </c>
      <c r="J207" s="27"/>
      <c r="M207" s="472"/>
    </row>
    <row r="208" spans="1:13" s="42" customFormat="1" ht="12" customHeight="1" x14ac:dyDescent="0.25">
      <c r="A208" s="101"/>
      <c r="B208" s="199">
        <v>2017</v>
      </c>
      <c r="C208" s="337">
        <v>10500</v>
      </c>
      <c r="D208" s="341" t="s">
        <v>77</v>
      </c>
      <c r="E208" s="342">
        <v>18.600000000000001</v>
      </c>
      <c r="F208" s="331">
        <v>195000</v>
      </c>
      <c r="G208" s="331">
        <v>192000</v>
      </c>
      <c r="H208" s="343">
        <v>501</v>
      </c>
      <c r="I208" s="337">
        <v>96201</v>
      </c>
      <c r="J208" s="46"/>
      <c r="M208" s="472"/>
    </row>
    <row r="209" spans="1:18" s="14" customFormat="1" ht="12" customHeight="1" x14ac:dyDescent="0.25">
      <c r="A209" s="181"/>
      <c r="B209" s="104">
        <v>2018</v>
      </c>
      <c r="C209" s="328">
        <v>10700</v>
      </c>
      <c r="D209" s="200" t="s">
        <v>77</v>
      </c>
      <c r="E209" s="201">
        <v>15.1</v>
      </c>
      <c r="F209" s="325">
        <v>161500</v>
      </c>
      <c r="G209" s="325">
        <v>161000</v>
      </c>
      <c r="H209" s="327">
        <v>480</v>
      </c>
      <c r="I209" s="328">
        <v>77344</v>
      </c>
      <c r="M209" s="472"/>
    </row>
    <row r="210" spans="1:18" s="14" customFormat="1" ht="12" customHeight="1" x14ac:dyDescent="0.25">
      <c r="A210" s="101"/>
      <c r="B210" s="104">
        <v>2019</v>
      </c>
      <c r="C210" s="328">
        <v>10000</v>
      </c>
      <c r="D210" s="200" t="s">
        <v>77</v>
      </c>
      <c r="E210" s="201">
        <v>16.3</v>
      </c>
      <c r="F210" s="325">
        <v>163000</v>
      </c>
      <c r="G210" s="325">
        <v>161370</v>
      </c>
      <c r="H210" s="327">
        <v>380</v>
      </c>
      <c r="I210" s="328">
        <v>61317</v>
      </c>
      <c r="J210" s="78"/>
      <c r="K210" s="302"/>
      <c r="M210" s="472"/>
    </row>
    <row r="211" spans="1:18" s="42" customFormat="1" ht="12" customHeight="1" x14ac:dyDescent="0.25">
      <c r="A211" s="101"/>
      <c r="B211" s="104">
        <v>2020</v>
      </c>
      <c r="C211" s="328">
        <v>9900</v>
      </c>
      <c r="D211" s="200" t="s">
        <v>77</v>
      </c>
      <c r="E211" s="201">
        <v>11.6</v>
      </c>
      <c r="F211" s="325">
        <v>115000</v>
      </c>
      <c r="G211" s="325">
        <v>114090</v>
      </c>
      <c r="H211" s="327">
        <v>596</v>
      </c>
      <c r="I211" s="328">
        <v>67965</v>
      </c>
      <c r="J211" s="471">
        <f t="shared" ref="J211:P211" si="15">(C211-C210)/C210</f>
        <v>-0.01</v>
      </c>
      <c r="K211" s="404" t="e">
        <f t="shared" si="15"/>
        <v>#VALUE!</v>
      </c>
      <c r="L211" s="404">
        <f t="shared" si="15"/>
        <v>-0.28834355828220865</v>
      </c>
      <c r="M211" s="471">
        <f t="shared" si="15"/>
        <v>-0.29447852760736198</v>
      </c>
      <c r="N211" s="404">
        <f t="shared" si="15"/>
        <v>-0.2929912623164157</v>
      </c>
      <c r="O211" s="404">
        <f t="shared" si="15"/>
        <v>0.56842105263157894</v>
      </c>
      <c r="P211" s="404">
        <f t="shared" si="15"/>
        <v>0.10842017711238319</v>
      </c>
      <c r="Q211" s="27">
        <f>C211</f>
        <v>9900</v>
      </c>
      <c r="R211" s="27">
        <f>F211</f>
        <v>115000</v>
      </c>
    </row>
    <row r="212" spans="1:18" s="14" customFormat="1" ht="12" customHeight="1" x14ac:dyDescent="0.2">
      <c r="A212" s="42"/>
      <c r="B212" s="102"/>
      <c r="C212" s="268"/>
      <c r="D212" s="202"/>
      <c r="E212" s="140"/>
      <c r="F212" s="119"/>
      <c r="G212" s="119"/>
      <c r="H212" s="338"/>
      <c r="I212" s="268"/>
      <c r="J212" s="78"/>
      <c r="M212" s="472"/>
    </row>
    <row r="213" spans="1:18" s="14" customFormat="1" ht="12" customHeight="1" x14ac:dyDescent="0.2">
      <c r="A213" s="110" t="s">
        <v>43</v>
      </c>
      <c r="B213" s="102">
        <v>2011</v>
      </c>
      <c r="C213" s="268">
        <v>22000</v>
      </c>
      <c r="D213" s="202" t="s">
        <v>77</v>
      </c>
      <c r="E213" s="140">
        <v>7.27</v>
      </c>
      <c r="F213" s="119">
        <v>160000</v>
      </c>
      <c r="G213" s="119">
        <v>160000</v>
      </c>
      <c r="H213" s="338">
        <v>402</v>
      </c>
      <c r="I213" s="268">
        <v>64320</v>
      </c>
      <c r="J213" s="78"/>
      <c r="M213" s="472"/>
    </row>
    <row r="214" spans="1:18" s="14" customFormat="1" ht="12" customHeight="1" x14ac:dyDescent="0.25">
      <c r="A214" s="101"/>
      <c r="B214" s="102">
        <v>2012</v>
      </c>
      <c r="C214" s="268">
        <v>20000</v>
      </c>
      <c r="D214" s="202" t="s">
        <v>77</v>
      </c>
      <c r="E214" s="140">
        <v>5.75</v>
      </c>
      <c r="F214" s="119">
        <v>115000</v>
      </c>
      <c r="G214" s="119">
        <v>115000</v>
      </c>
      <c r="H214" s="338">
        <v>695</v>
      </c>
      <c r="I214" s="268">
        <v>79940</v>
      </c>
      <c r="J214" s="78"/>
      <c r="M214" s="472"/>
    </row>
    <row r="215" spans="1:18" s="14" customFormat="1" ht="12" customHeight="1" x14ac:dyDescent="0.25">
      <c r="A215" s="101"/>
      <c r="B215" s="104">
        <v>2013</v>
      </c>
      <c r="C215" s="268">
        <v>18000</v>
      </c>
      <c r="D215" s="202" t="s">
        <v>77</v>
      </c>
      <c r="E215" s="140">
        <v>5.3</v>
      </c>
      <c r="F215" s="119">
        <v>100600</v>
      </c>
      <c r="G215" s="119">
        <v>98600</v>
      </c>
      <c r="H215" s="338">
        <v>664</v>
      </c>
      <c r="I215" s="268">
        <v>62043</v>
      </c>
      <c r="J215" s="78"/>
      <c r="M215" s="472"/>
    </row>
    <row r="216" spans="1:18" s="14" customFormat="1" ht="12" customHeight="1" x14ac:dyDescent="0.25">
      <c r="A216" s="101"/>
      <c r="B216" s="104">
        <v>2014</v>
      </c>
      <c r="C216" s="268">
        <v>18000</v>
      </c>
      <c r="D216" s="202" t="s">
        <v>77</v>
      </c>
      <c r="E216" s="140">
        <v>6.28</v>
      </c>
      <c r="F216" s="119">
        <v>104000</v>
      </c>
      <c r="G216" s="119">
        <v>104000</v>
      </c>
      <c r="H216" s="338">
        <v>913</v>
      </c>
      <c r="I216" s="268">
        <v>103167</v>
      </c>
      <c r="J216" s="78"/>
      <c r="M216" s="472"/>
    </row>
    <row r="217" spans="1:18" s="14" customFormat="1" ht="12" customHeight="1" x14ac:dyDescent="0.25">
      <c r="A217" s="101"/>
      <c r="B217" s="199">
        <v>2015</v>
      </c>
      <c r="C217" s="271">
        <v>17800</v>
      </c>
      <c r="D217" s="202" t="s">
        <v>77</v>
      </c>
      <c r="E217" s="203">
        <v>5.96</v>
      </c>
      <c r="F217" s="196">
        <v>92500</v>
      </c>
      <c r="G217" s="196">
        <v>91500</v>
      </c>
      <c r="H217" s="197">
        <v>998</v>
      </c>
      <c r="I217" s="271">
        <v>104760</v>
      </c>
      <c r="J217" s="78"/>
      <c r="M217" s="472"/>
    </row>
    <row r="218" spans="1:18" s="14" customFormat="1" ht="12" customHeight="1" x14ac:dyDescent="0.25">
      <c r="A218" s="101"/>
      <c r="B218" s="199">
        <v>2016</v>
      </c>
      <c r="C218" s="337">
        <v>18700</v>
      </c>
      <c r="D218" s="341" t="s">
        <v>77</v>
      </c>
      <c r="E218" s="342">
        <v>7.25</v>
      </c>
      <c r="F218" s="331">
        <v>108000</v>
      </c>
      <c r="G218" s="331">
        <v>107800</v>
      </c>
      <c r="H218" s="343">
        <v>813</v>
      </c>
      <c r="I218" s="337">
        <v>109354</v>
      </c>
      <c r="J218" s="78"/>
      <c r="M218" s="472"/>
    </row>
    <row r="219" spans="1:18" s="14" customFormat="1" ht="12" customHeight="1" x14ac:dyDescent="0.25">
      <c r="A219" s="101"/>
      <c r="B219" s="199">
        <v>2017</v>
      </c>
      <c r="C219" s="337">
        <v>15000</v>
      </c>
      <c r="D219" s="341" t="s">
        <v>77</v>
      </c>
      <c r="E219" s="342">
        <v>7.86</v>
      </c>
      <c r="F219" s="331">
        <v>117900</v>
      </c>
      <c r="G219" s="331">
        <v>114900</v>
      </c>
      <c r="H219" s="343">
        <v>1000</v>
      </c>
      <c r="I219" s="337">
        <v>114897</v>
      </c>
      <c r="J219" s="46"/>
      <c r="M219" s="472"/>
    </row>
    <row r="220" spans="1:18" s="14" customFormat="1" ht="12" customHeight="1" x14ac:dyDescent="0.25">
      <c r="A220" s="181"/>
      <c r="B220" s="104">
        <v>2018</v>
      </c>
      <c r="C220" s="328">
        <v>15000</v>
      </c>
      <c r="D220" s="200" t="s">
        <v>77</v>
      </c>
      <c r="E220" s="201">
        <v>7.16</v>
      </c>
      <c r="F220" s="325">
        <v>107500</v>
      </c>
      <c r="G220" s="325">
        <v>106450</v>
      </c>
      <c r="H220" s="327">
        <v>935</v>
      </c>
      <c r="I220" s="328">
        <v>99537</v>
      </c>
      <c r="M220" s="472"/>
    </row>
    <row r="221" spans="1:18" s="14" customFormat="1" ht="12" customHeight="1" x14ac:dyDescent="0.2">
      <c r="A221" s="113"/>
      <c r="B221" s="104">
        <v>2019</v>
      </c>
      <c r="C221" s="328">
        <v>14000</v>
      </c>
      <c r="D221" s="200" t="s">
        <v>77</v>
      </c>
      <c r="E221" s="201">
        <v>6.77</v>
      </c>
      <c r="F221" s="325">
        <v>94800</v>
      </c>
      <c r="G221" s="325">
        <v>91390</v>
      </c>
      <c r="H221" s="327">
        <v>1180</v>
      </c>
      <c r="I221" s="328">
        <v>108237</v>
      </c>
      <c r="J221" s="191"/>
      <c r="K221" s="302"/>
      <c r="M221" s="472"/>
    </row>
    <row r="222" spans="1:18" s="42" customFormat="1" ht="12" customHeight="1" x14ac:dyDescent="0.2">
      <c r="A222" s="514"/>
      <c r="B222" s="515">
        <v>2020</v>
      </c>
      <c r="C222" s="408">
        <v>13800</v>
      </c>
      <c r="D222" s="516" t="s">
        <v>77</v>
      </c>
      <c r="E222" s="409">
        <v>7.6</v>
      </c>
      <c r="F222" s="326">
        <v>105000</v>
      </c>
      <c r="G222" s="326">
        <v>103020</v>
      </c>
      <c r="H222" s="410">
        <v>1190</v>
      </c>
      <c r="I222" s="408">
        <v>122233</v>
      </c>
      <c r="J222" s="471">
        <f t="shared" ref="J222:P222" si="16">(C222-C221)/C221</f>
        <v>-1.4285714285714285E-2</v>
      </c>
      <c r="K222" s="404" t="e">
        <f t="shared" si="16"/>
        <v>#VALUE!</v>
      </c>
      <c r="L222" s="404">
        <f t="shared" si="16"/>
        <v>0.12259970457902512</v>
      </c>
      <c r="M222" s="471">
        <f t="shared" si="16"/>
        <v>0.10759493670886076</v>
      </c>
      <c r="N222" s="404">
        <f t="shared" si="16"/>
        <v>0.12725681146733778</v>
      </c>
      <c r="O222" s="404">
        <f t="shared" si="16"/>
        <v>8.4745762711864406E-3</v>
      </c>
      <c r="P222" s="404">
        <f t="shared" si="16"/>
        <v>0.12930883154558978</v>
      </c>
      <c r="Q222" s="27">
        <f>C222</f>
        <v>13800</v>
      </c>
      <c r="R222" s="27">
        <f>F222</f>
        <v>105000</v>
      </c>
    </row>
    <row r="223" spans="1:18" s="14" customFormat="1" ht="3.75" customHeight="1" x14ac:dyDescent="0.2">
      <c r="A223" s="42"/>
      <c r="B223" s="459"/>
      <c r="C223" s="358"/>
      <c r="D223" s="331"/>
      <c r="E223" s="460"/>
      <c r="F223" s="461"/>
      <c r="G223" s="461"/>
      <c r="H223" s="462"/>
      <c r="I223" s="358"/>
      <c r="J223" s="191"/>
      <c r="M223" s="472"/>
    </row>
    <row r="224" spans="1:18" s="14" customFormat="1" ht="12" customHeight="1" x14ac:dyDescent="0.2">
      <c r="A224" s="110" t="s">
        <v>137</v>
      </c>
      <c r="B224" s="102">
        <v>2011</v>
      </c>
      <c r="C224" s="268">
        <v>58000</v>
      </c>
      <c r="D224" s="202" t="s">
        <v>77</v>
      </c>
      <c r="E224" s="140">
        <v>2.36</v>
      </c>
      <c r="F224" s="119">
        <v>137000</v>
      </c>
      <c r="G224" s="119">
        <v>137000</v>
      </c>
      <c r="H224" s="338">
        <v>1310</v>
      </c>
      <c r="I224" s="268">
        <v>179470</v>
      </c>
      <c r="J224" s="191"/>
      <c r="M224" s="472"/>
    </row>
    <row r="225" spans="1:18" s="14" customFormat="1" ht="12" customHeight="1" x14ac:dyDescent="0.25">
      <c r="A225" s="101"/>
      <c r="B225" s="102">
        <v>2012</v>
      </c>
      <c r="C225" s="268">
        <v>55000</v>
      </c>
      <c r="D225" s="202" t="s">
        <v>77</v>
      </c>
      <c r="E225" s="140">
        <v>2.5099999999999998</v>
      </c>
      <c r="F225" s="119">
        <v>138000</v>
      </c>
      <c r="G225" s="119">
        <v>138000</v>
      </c>
      <c r="H225" s="338">
        <v>1330</v>
      </c>
      <c r="I225" s="268">
        <v>183540</v>
      </c>
      <c r="J225" s="191"/>
      <c r="M225" s="472"/>
    </row>
    <row r="226" spans="1:18" s="14" customFormat="1" ht="12" customHeight="1" x14ac:dyDescent="0.25">
      <c r="A226" s="101"/>
      <c r="B226" s="104">
        <v>2013</v>
      </c>
      <c r="C226" s="268">
        <v>50000</v>
      </c>
      <c r="D226" s="202" t="s">
        <v>77</v>
      </c>
      <c r="E226" s="140">
        <v>1.7</v>
      </c>
      <c r="F226" s="119">
        <v>85000</v>
      </c>
      <c r="G226" s="119">
        <v>85000</v>
      </c>
      <c r="H226" s="338">
        <v>2000</v>
      </c>
      <c r="I226" s="268">
        <v>170000</v>
      </c>
      <c r="J226" s="191"/>
      <c r="M226" s="472"/>
    </row>
    <row r="227" spans="1:18" s="14" customFormat="1" ht="12" customHeight="1" x14ac:dyDescent="0.25">
      <c r="A227" s="101"/>
      <c r="B227" s="104">
        <v>2014</v>
      </c>
      <c r="C227" s="268">
        <v>48000</v>
      </c>
      <c r="D227" s="202" t="s">
        <v>77</v>
      </c>
      <c r="E227" s="140">
        <v>2.25</v>
      </c>
      <c r="F227" s="119">
        <v>108000</v>
      </c>
      <c r="G227" s="119">
        <v>108000</v>
      </c>
      <c r="H227" s="338">
        <v>2470</v>
      </c>
      <c r="I227" s="268">
        <v>266760</v>
      </c>
      <c r="J227" s="191"/>
      <c r="M227" s="472"/>
    </row>
    <row r="228" spans="1:18" s="14" customFormat="1" ht="12" customHeight="1" x14ac:dyDescent="0.25">
      <c r="A228" s="101"/>
      <c r="B228" s="199">
        <v>2015</v>
      </c>
      <c r="C228" s="271">
        <v>47000</v>
      </c>
      <c r="D228" s="202" t="s">
        <v>77</v>
      </c>
      <c r="E228" s="203">
        <v>2.38</v>
      </c>
      <c r="F228" s="196">
        <v>112000</v>
      </c>
      <c r="G228" s="196">
        <v>110000</v>
      </c>
      <c r="H228" s="197">
        <v>2050</v>
      </c>
      <c r="I228" s="271">
        <v>225500</v>
      </c>
      <c r="J228" s="191"/>
      <c r="M228" s="472"/>
    </row>
    <row r="229" spans="1:18" s="14" customFormat="1" ht="12" customHeight="1" x14ac:dyDescent="0.25">
      <c r="A229" s="101"/>
      <c r="B229" s="199">
        <v>2016</v>
      </c>
      <c r="C229" s="271">
        <v>45000</v>
      </c>
      <c r="D229" s="202" t="s">
        <v>77</v>
      </c>
      <c r="E229" s="203">
        <v>1.2</v>
      </c>
      <c r="F229" s="196">
        <v>54000</v>
      </c>
      <c r="G229" s="196">
        <v>54000</v>
      </c>
      <c r="H229" s="197">
        <v>2180</v>
      </c>
      <c r="I229" s="271">
        <v>117720</v>
      </c>
      <c r="J229" s="191"/>
      <c r="M229" s="472"/>
    </row>
    <row r="230" spans="1:18" s="14" customFormat="1" ht="12" customHeight="1" x14ac:dyDescent="0.25">
      <c r="A230" s="101"/>
      <c r="B230" s="199">
        <v>2017</v>
      </c>
      <c r="C230" s="271">
        <v>45000</v>
      </c>
      <c r="D230" s="202" t="s">
        <v>77</v>
      </c>
      <c r="E230" s="203">
        <v>2.33</v>
      </c>
      <c r="F230" s="196">
        <v>105000</v>
      </c>
      <c r="G230" s="196">
        <v>105000</v>
      </c>
      <c r="H230" s="197">
        <v>1980</v>
      </c>
      <c r="I230" s="271">
        <v>207900</v>
      </c>
      <c r="J230" s="46"/>
      <c r="M230" s="472"/>
    </row>
    <row r="231" spans="1:18" s="14" customFormat="1" ht="12" customHeight="1" x14ac:dyDescent="0.25">
      <c r="A231" s="101"/>
      <c r="B231" s="104">
        <v>2018</v>
      </c>
      <c r="C231" s="337">
        <v>44000</v>
      </c>
      <c r="D231" s="401" t="s">
        <v>77</v>
      </c>
      <c r="E231" s="411">
        <v>2</v>
      </c>
      <c r="F231" s="412">
        <v>88000</v>
      </c>
      <c r="G231" s="331">
        <v>88000</v>
      </c>
      <c r="H231" s="197">
        <v>1910</v>
      </c>
      <c r="I231" s="337">
        <v>168080</v>
      </c>
      <c r="M231" s="472"/>
    </row>
    <row r="232" spans="1:18" s="14" customFormat="1" ht="12.75" customHeight="1" x14ac:dyDescent="0.25">
      <c r="A232" s="181"/>
      <c r="B232" s="104">
        <v>2019</v>
      </c>
      <c r="C232" s="337">
        <v>44000</v>
      </c>
      <c r="D232" s="401" t="s">
        <v>77</v>
      </c>
      <c r="E232" s="401">
        <v>2.02</v>
      </c>
      <c r="F232" s="412">
        <v>88900</v>
      </c>
      <c r="G232" s="331">
        <v>88370</v>
      </c>
      <c r="H232" s="343">
        <v>1800</v>
      </c>
      <c r="I232" s="337">
        <v>159066</v>
      </c>
      <c r="K232" s="302"/>
      <c r="M232" s="472"/>
    </row>
    <row r="233" spans="1:18" s="42" customFormat="1" ht="12.75" customHeight="1" thickBot="1" x14ac:dyDescent="0.3">
      <c r="A233" s="114"/>
      <c r="B233" s="334">
        <v>2020</v>
      </c>
      <c r="C233" s="413">
        <v>40000</v>
      </c>
      <c r="D233" s="401" t="s">
        <v>77</v>
      </c>
      <c r="E233" s="414">
        <v>1.43</v>
      </c>
      <c r="F233" s="415">
        <v>57200</v>
      </c>
      <c r="G233" s="416">
        <v>57030</v>
      </c>
      <c r="H233" s="455">
        <v>1970</v>
      </c>
      <c r="I233" s="413">
        <v>112349</v>
      </c>
      <c r="J233" s="471">
        <f t="shared" ref="J233:P233" si="17">(C233-C232)/C232</f>
        <v>-9.0909090909090912E-2</v>
      </c>
      <c r="K233" s="404" t="e">
        <f t="shared" si="17"/>
        <v>#VALUE!</v>
      </c>
      <c r="L233" s="404">
        <f t="shared" si="17"/>
        <v>-0.29207920792079212</v>
      </c>
      <c r="M233" s="471">
        <f t="shared" si="17"/>
        <v>-0.3565804274465692</v>
      </c>
      <c r="N233" s="404">
        <f t="shared" si="17"/>
        <v>-0.35464524159782734</v>
      </c>
      <c r="O233" s="404">
        <f t="shared" si="17"/>
        <v>9.4444444444444442E-2</v>
      </c>
      <c r="P233" s="404">
        <f t="shared" si="17"/>
        <v>-0.29369569864081574</v>
      </c>
      <c r="Q233" s="27">
        <f>C233</f>
        <v>40000</v>
      </c>
      <c r="R233" s="27">
        <f>F233</f>
        <v>57200</v>
      </c>
    </row>
    <row r="234" spans="1:18" s="14" customFormat="1" ht="13.5" customHeight="1" x14ac:dyDescent="0.2">
      <c r="A234" s="295" t="s">
        <v>74</v>
      </c>
      <c r="B234" s="295"/>
      <c r="C234" s="295"/>
      <c r="D234" s="295"/>
      <c r="E234" s="295"/>
      <c r="F234" s="295"/>
      <c r="G234" s="295"/>
      <c r="H234" s="295"/>
      <c r="I234" s="344"/>
      <c r="M234" s="472"/>
      <c r="Q234" s="27">
        <f>SUM(Q5:Q233)</f>
        <v>1109500</v>
      </c>
      <c r="R234" s="27">
        <f>SUM(R5:R233)</f>
        <v>7061600</v>
      </c>
    </row>
    <row r="235" spans="1:18" s="14" customFormat="1" ht="12" customHeight="1" x14ac:dyDescent="0.2">
      <c r="A235" s="392" t="s">
        <v>75</v>
      </c>
      <c r="B235" s="392"/>
      <c r="C235" s="293"/>
      <c r="D235" s="293"/>
      <c r="E235" s="293"/>
      <c r="F235" s="293"/>
      <c r="G235" s="293"/>
      <c r="H235" s="293"/>
      <c r="I235" s="345"/>
      <c r="M235" s="472"/>
    </row>
    <row r="236" spans="1:18" s="14" customFormat="1" ht="12" customHeight="1" x14ac:dyDescent="0.2">
      <c r="A236" s="392" t="s">
        <v>161</v>
      </c>
      <c r="B236" s="392"/>
      <c r="C236" s="293"/>
      <c r="D236" s="293"/>
      <c r="E236" s="293"/>
      <c r="F236" s="293"/>
      <c r="G236" s="293"/>
      <c r="H236" s="293"/>
      <c r="I236" s="345"/>
      <c r="J236" s="27"/>
      <c r="M236" s="472"/>
    </row>
    <row r="237" spans="1:18" s="42" customFormat="1" ht="12" customHeight="1" x14ac:dyDescent="0.2">
      <c r="A237" s="392" t="s">
        <v>162</v>
      </c>
      <c r="B237" s="392"/>
      <c r="C237" s="293"/>
      <c r="D237" s="293"/>
      <c r="E237" s="293"/>
      <c r="F237" s="293"/>
      <c r="G237" s="293"/>
      <c r="H237" s="293"/>
      <c r="I237" s="345"/>
      <c r="J237" s="27"/>
      <c r="M237" s="472"/>
    </row>
    <row r="238" spans="1:18" s="14" customFormat="1" ht="12" customHeight="1" x14ac:dyDescent="0.2">
      <c r="A238" s="392" t="s">
        <v>84</v>
      </c>
      <c r="B238" s="392"/>
      <c r="C238" s="293"/>
      <c r="D238" s="293"/>
      <c r="E238" s="293"/>
      <c r="F238" s="293"/>
      <c r="G238" s="293"/>
      <c r="H238" s="293"/>
      <c r="I238" s="345"/>
      <c r="J238" s="27"/>
      <c r="M238" s="472"/>
    </row>
    <row r="239" spans="1:18" s="14" customFormat="1" ht="12" customHeight="1" x14ac:dyDescent="0.2">
      <c r="A239" s="154"/>
      <c r="B239" s="154"/>
      <c r="C239" s="294"/>
      <c r="D239" s="294"/>
      <c r="E239" s="294"/>
      <c r="F239" s="294"/>
      <c r="G239" s="294"/>
      <c r="H239" s="294"/>
      <c r="I239" s="53"/>
      <c r="J239" s="27"/>
      <c r="M239" s="472"/>
    </row>
    <row r="240" spans="1:18" s="14" customFormat="1" ht="12" customHeight="1" x14ac:dyDescent="0.2">
      <c r="A240" s="112"/>
      <c r="B240" s="42"/>
      <c r="C240" s="8"/>
      <c r="D240" s="12"/>
      <c r="E240" s="8"/>
      <c r="F240" s="8"/>
      <c r="G240" s="9"/>
      <c r="H240" s="8"/>
      <c r="I240" s="329"/>
      <c r="J240" s="27"/>
      <c r="M240" s="472"/>
    </row>
    <row r="241" spans="1:16" s="14" customFormat="1" ht="12" customHeight="1" x14ac:dyDescent="0.2">
      <c r="A241" s="468"/>
      <c r="B241" s="74"/>
      <c r="C241" s="79"/>
      <c r="D241" s="79"/>
      <c r="E241" s="79"/>
      <c r="F241" s="278"/>
      <c r="G241" s="79"/>
      <c r="H241" s="79"/>
      <c r="I241" s="346"/>
      <c r="J241" s="27"/>
      <c r="M241" s="472"/>
    </row>
    <row r="242" spans="1:16" s="14" customFormat="1" ht="12" customHeight="1" x14ac:dyDescent="0.2">
      <c r="A242" s="112"/>
      <c r="B242" s="74"/>
      <c r="C242" s="83"/>
      <c r="D242" s="83"/>
      <c r="E242" s="83"/>
      <c r="F242" s="279"/>
      <c r="G242" s="83"/>
      <c r="H242" s="84"/>
      <c r="I242" s="346"/>
      <c r="M242" s="472"/>
    </row>
    <row r="243" spans="1:16" s="42" customFormat="1" ht="12" customHeight="1" x14ac:dyDescent="0.2">
      <c r="A243" s="112"/>
      <c r="B243" s="74"/>
      <c r="C243" s="80"/>
      <c r="D243" s="81"/>
      <c r="E243" s="80"/>
      <c r="F243" s="80"/>
      <c r="G243" s="82"/>
      <c r="H243" s="80"/>
      <c r="I243" s="346"/>
      <c r="J243" s="46"/>
      <c r="M243" s="472"/>
    </row>
    <row r="244" spans="1:16" s="14" customFormat="1" ht="12" customHeight="1" x14ac:dyDescent="0.2">
      <c r="A244" s="112"/>
      <c r="B244" s="74"/>
      <c r="C244" s="80"/>
      <c r="D244" s="81"/>
      <c r="E244" s="80"/>
      <c r="F244" s="80"/>
      <c r="G244" s="82"/>
      <c r="H244" s="80"/>
      <c r="I244" s="346"/>
      <c r="M244" s="472"/>
    </row>
    <row r="245" spans="1:16" ht="12" customHeight="1" x14ac:dyDescent="0.2">
      <c r="A245" s="112"/>
      <c r="C245" s="8"/>
      <c r="D245" s="12"/>
      <c r="E245" s="8"/>
      <c r="F245" s="8"/>
      <c r="G245" s="9"/>
      <c r="H245" s="8"/>
      <c r="I245" s="329"/>
      <c r="J245" s="28"/>
      <c r="K245" s="28"/>
      <c r="L245" s="28"/>
      <c r="M245" s="473"/>
      <c r="N245" s="28"/>
      <c r="O245" s="28"/>
      <c r="P245" s="28"/>
    </row>
    <row r="246" spans="1:16" ht="12" customHeight="1" x14ac:dyDescent="0.2">
      <c r="A246" s="112"/>
      <c r="C246" s="8"/>
      <c r="D246" s="12"/>
      <c r="E246" s="8"/>
      <c r="F246" s="8"/>
      <c r="G246" s="9"/>
      <c r="H246" s="8"/>
      <c r="I246" s="329"/>
      <c r="J246" s="28"/>
      <c r="K246" s="28"/>
      <c r="L246" s="28"/>
      <c r="M246" s="473"/>
      <c r="N246" s="28"/>
      <c r="O246" s="28"/>
      <c r="P246" s="28"/>
    </row>
    <row r="247" spans="1:16" ht="12" customHeight="1" x14ac:dyDescent="0.2">
      <c r="A247" s="112"/>
      <c r="C247" s="8"/>
      <c r="D247" s="12"/>
      <c r="E247" s="8"/>
      <c r="F247" s="8"/>
      <c r="G247" s="9"/>
      <c r="H247" s="8"/>
      <c r="I247" s="329"/>
      <c r="J247" s="28"/>
      <c r="K247" s="28"/>
      <c r="L247" s="28"/>
      <c r="M247" s="473"/>
      <c r="N247" s="28"/>
      <c r="O247" s="28"/>
      <c r="P247" s="28"/>
    </row>
    <row r="248" spans="1:16" s="79" customFormat="1" ht="12" customHeight="1" x14ac:dyDescent="0.2">
      <c r="A248" s="112"/>
      <c r="B248" s="42"/>
      <c r="C248" s="8"/>
      <c r="D248" s="12"/>
      <c r="E248" s="8"/>
      <c r="F248" s="8"/>
      <c r="G248" s="9"/>
      <c r="H248" s="8"/>
      <c r="I248" s="329"/>
      <c r="J248" s="93"/>
      <c r="K248" s="93"/>
      <c r="L248" s="93"/>
      <c r="M248" s="474"/>
      <c r="N248" s="93"/>
      <c r="O248" s="93"/>
      <c r="P248" s="93"/>
    </row>
    <row r="249" spans="1:16" s="79" customFormat="1" ht="12" customHeight="1" x14ac:dyDescent="0.2">
      <c r="A249" s="112"/>
      <c r="B249" s="42"/>
      <c r="C249" s="8"/>
      <c r="D249" s="12"/>
      <c r="E249" s="8"/>
      <c r="F249" s="8"/>
      <c r="G249" s="9"/>
      <c r="H249" s="8"/>
      <c r="I249" s="329"/>
      <c r="J249" s="93"/>
      <c r="K249" s="93"/>
      <c r="L249" s="93"/>
      <c r="M249" s="474"/>
      <c r="N249" s="93"/>
      <c r="O249" s="93"/>
      <c r="P249" s="93"/>
    </row>
    <row r="250" spans="1:16" ht="12" customHeight="1" x14ac:dyDescent="0.2">
      <c r="A250" s="112"/>
      <c r="C250" s="8"/>
      <c r="D250" s="12"/>
      <c r="E250" s="8"/>
      <c r="F250" s="8"/>
      <c r="G250" s="9"/>
      <c r="H250" s="8"/>
      <c r="I250" s="329"/>
    </row>
    <row r="251" spans="1:16" ht="12" customHeight="1" x14ac:dyDescent="0.2">
      <c r="I251" s="329"/>
      <c r="J251" s="79"/>
    </row>
    <row r="252" spans="1:16" ht="12" customHeight="1" x14ac:dyDescent="0.2">
      <c r="A252" s="112"/>
      <c r="C252" s="2"/>
      <c r="D252" s="2"/>
      <c r="E252" s="2"/>
      <c r="F252" s="280"/>
      <c r="G252" s="2"/>
      <c r="H252" s="3"/>
      <c r="I252" s="329"/>
      <c r="J252" s="79"/>
    </row>
    <row r="253" spans="1:16" ht="12" customHeight="1" x14ac:dyDescent="0.2">
      <c r="A253" s="112"/>
      <c r="C253" s="8"/>
      <c r="D253" s="12"/>
      <c r="E253" s="8"/>
      <c r="F253" s="8"/>
      <c r="G253" s="9"/>
      <c r="H253" s="8"/>
      <c r="I253" s="329"/>
      <c r="J253" s="79"/>
    </row>
    <row r="254" spans="1:16" ht="12" customHeight="1" x14ac:dyDescent="0.2">
      <c r="A254" s="112"/>
      <c r="C254" s="8"/>
      <c r="D254" s="12"/>
      <c r="E254" s="8"/>
      <c r="F254" s="8"/>
      <c r="G254" s="9"/>
      <c r="H254" s="8"/>
      <c r="I254" s="329"/>
      <c r="J254" s="79"/>
    </row>
    <row r="255" spans="1:16" ht="12" customHeight="1" x14ac:dyDescent="0.2">
      <c r="A255" s="112"/>
      <c r="C255" s="8"/>
      <c r="D255" s="12"/>
      <c r="E255" s="8"/>
      <c r="F255" s="8"/>
      <c r="G255" s="9"/>
      <c r="H255" s="8"/>
      <c r="I255" s="329"/>
      <c r="J255" s="79"/>
    </row>
    <row r="256" spans="1:16" ht="12" customHeight="1" x14ac:dyDescent="0.2">
      <c r="A256" s="112"/>
      <c r="C256" s="8"/>
      <c r="D256" s="12"/>
      <c r="E256" s="8"/>
      <c r="F256" s="8"/>
      <c r="G256" s="9"/>
      <c r="H256" s="8"/>
      <c r="I256" s="329"/>
    </row>
    <row r="257" spans="1:9" ht="12" customHeight="1" x14ac:dyDescent="0.2">
      <c r="A257" s="112"/>
      <c r="C257" s="8"/>
      <c r="D257" s="12"/>
      <c r="E257" s="8"/>
      <c r="F257" s="8"/>
      <c r="G257" s="9"/>
      <c r="H257" s="8"/>
      <c r="I257" s="329"/>
    </row>
    <row r="258" spans="1:9" ht="12" customHeight="1" x14ac:dyDescent="0.2">
      <c r="A258" s="112"/>
      <c r="C258" s="8"/>
      <c r="D258" s="12"/>
      <c r="E258" s="8"/>
      <c r="F258" s="8"/>
      <c r="G258" s="9"/>
      <c r="H258" s="8"/>
      <c r="I258" s="329"/>
    </row>
    <row r="259" spans="1:9" ht="12" customHeight="1" x14ac:dyDescent="0.2">
      <c r="A259" s="112"/>
      <c r="C259" s="8"/>
      <c r="D259" s="12"/>
      <c r="E259" s="8"/>
      <c r="F259" s="8"/>
      <c r="G259" s="9"/>
      <c r="H259" s="8"/>
      <c r="I259" s="329"/>
    </row>
    <row r="260" spans="1:9" ht="12" customHeight="1" x14ac:dyDescent="0.2">
      <c r="A260" s="112"/>
      <c r="C260" s="8"/>
      <c r="D260" s="12"/>
      <c r="E260" s="8"/>
      <c r="F260" s="8"/>
      <c r="G260" s="9"/>
      <c r="H260" s="8"/>
      <c r="I260" s="329"/>
    </row>
    <row r="261" spans="1:9" ht="12" customHeight="1" x14ac:dyDescent="0.2">
      <c r="I261" s="329"/>
    </row>
    <row r="262" spans="1:9" ht="12" customHeight="1" x14ac:dyDescent="0.2">
      <c r="A262" s="112"/>
      <c r="C262" s="2"/>
      <c r="D262" s="2"/>
      <c r="E262" s="2"/>
      <c r="F262" s="280"/>
      <c r="G262" s="2"/>
      <c r="H262" s="3"/>
      <c r="I262" s="329"/>
    </row>
    <row r="263" spans="1:9" ht="12" customHeight="1" x14ac:dyDescent="0.2">
      <c r="A263" s="112"/>
      <c r="C263" s="8"/>
      <c r="D263" s="12"/>
      <c r="E263" s="8"/>
      <c r="F263" s="8"/>
      <c r="G263" s="9"/>
      <c r="H263" s="8"/>
      <c r="I263" s="329"/>
    </row>
    <row r="264" spans="1:9" ht="12" customHeight="1" x14ac:dyDescent="0.2">
      <c r="A264" s="112"/>
      <c r="C264" s="8"/>
      <c r="D264" s="12"/>
      <c r="E264" s="8"/>
      <c r="F264" s="8"/>
      <c r="G264" s="9"/>
      <c r="H264" s="8"/>
      <c r="I264" s="329"/>
    </row>
    <row r="265" spans="1:9" ht="12" customHeight="1" x14ac:dyDescent="0.2">
      <c r="A265" s="112"/>
      <c r="C265" s="8"/>
      <c r="D265" s="12"/>
      <c r="E265" s="8"/>
      <c r="F265" s="8"/>
      <c r="G265" s="9"/>
      <c r="H265" s="8"/>
      <c r="I265" s="329"/>
    </row>
    <row r="266" spans="1:9" ht="12" customHeight="1" x14ac:dyDescent="0.2">
      <c r="A266" s="112"/>
      <c r="C266" s="8"/>
      <c r="D266" s="12"/>
      <c r="E266" s="8"/>
      <c r="F266" s="8"/>
      <c r="G266" s="9"/>
      <c r="H266" s="8"/>
      <c r="I266" s="329"/>
    </row>
    <row r="267" spans="1:9" ht="12" customHeight="1" x14ac:dyDescent="0.2">
      <c r="A267" s="112"/>
      <c r="C267" s="8"/>
      <c r="D267" s="12"/>
      <c r="E267" s="8"/>
      <c r="F267" s="8"/>
      <c r="G267" s="9"/>
      <c r="H267" s="8"/>
      <c r="I267" s="329"/>
    </row>
    <row r="268" spans="1:9" ht="12" customHeight="1" x14ac:dyDescent="0.2">
      <c r="A268" s="112"/>
      <c r="C268" s="8"/>
      <c r="D268" s="12"/>
      <c r="E268" s="8"/>
      <c r="F268" s="8"/>
      <c r="G268" s="9"/>
      <c r="H268" s="8"/>
      <c r="I268" s="329"/>
    </row>
    <row r="269" spans="1:9" ht="12" customHeight="1" x14ac:dyDescent="0.2">
      <c r="A269" s="112"/>
      <c r="C269" s="8"/>
      <c r="D269" s="12"/>
      <c r="E269" s="8"/>
      <c r="F269" s="8"/>
      <c r="G269" s="9"/>
      <c r="H269" s="8"/>
      <c r="I269" s="329"/>
    </row>
    <row r="270" spans="1:9" ht="12" customHeight="1" x14ac:dyDescent="0.2">
      <c r="A270" s="112"/>
      <c r="C270" s="8"/>
      <c r="D270" s="12"/>
      <c r="E270" s="8"/>
      <c r="F270" s="8"/>
      <c r="G270" s="9"/>
      <c r="H270" s="8"/>
      <c r="I270" s="329"/>
    </row>
    <row r="271" spans="1:9" ht="12" customHeight="1" x14ac:dyDescent="0.2">
      <c r="A271" s="112"/>
      <c r="C271" s="8"/>
      <c r="D271" s="12"/>
      <c r="E271" s="8"/>
      <c r="F271" s="8"/>
      <c r="G271" s="9"/>
      <c r="H271" s="8"/>
      <c r="I271" s="329"/>
    </row>
    <row r="272" spans="1:9" ht="12" customHeight="1" x14ac:dyDescent="0.2">
      <c r="A272" s="112"/>
      <c r="C272" s="8"/>
      <c r="D272" s="12"/>
      <c r="E272" s="8"/>
      <c r="F272" s="8"/>
      <c r="G272" s="9"/>
      <c r="H272" s="8"/>
      <c r="I272" s="329"/>
    </row>
    <row r="273" spans="1:9" ht="12" customHeight="1" x14ac:dyDescent="0.2">
      <c r="I273" s="329"/>
    </row>
    <row r="274" spans="1:9" ht="12" customHeight="1" x14ac:dyDescent="0.2">
      <c r="A274" s="112"/>
      <c r="C274" s="2"/>
      <c r="D274" s="2"/>
      <c r="E274" s="2"/>
      <c r="F274" s="280"/>
      <c r="G274" s="2"/>
      <c r="H274" s="3"/>
      <c r="I274" s="329"/>
    </row>
    <row r="275" spans="1:9" ht="12" customHeight="1" x14ac:dyDescent="0.2">
      <c r="A275" s="112"/>
      <c r="C275" s="8"/>
      <c r="D275" s="12"/>
      <c r="E275" s="8"/>
      <c r="F275" s="8"/>
      <c r="G275" s="9"/>
      <c r="H275" s="8"/>
      <c r="I275" s="329"/>
    </row>
    <row r="276" spans="1:9" ht="12" customHeight="1" x14ac:dyDescent="0.2">
      <c r="A276" s="112"/>
      <c r="C276" s="8"/>
      <c r="D276" s="12"/>
      <c r="E276" s="8"/>
      <c r="F276" s="8"/>
      <c r="G276" s="9"/>
      <c r="H276" s="8"/>
      <c r="I276" s="329"/>
    </row>
    <row r="277" spans="1:9" ht="12" customHeight="1" x14ac:dyDescent="0.2">
      <c r="A277" s="112"/>
      <c r="C277" s="8"/>
      <c r="D277" s="12"/>
      <c r="E277" s="8"/>
      <c r="F277" s="8"/>
      <c r="G277" s="9"/>
      <c r="H277" s="8"/>
      <c r="I277" s="329"/>
    </row>
    <row r="278" spans="1:9" ht="12" customHeight="1" x14ac:dyDescent="0.2">
      <c r="A278" s="112"/>
      <c r="C278" s="8"/>
      <c r="D278" s="12"/>
      <c r="E278" s="8"/>
      <c r="F278" s="8"/>
      <c r="G278" s="9"/>
      <c r="H278" s="8"/>
      <c r="I278" s="329"/>
    </row>
    <row r="279" spans="1:9" ht="12" customHeight="1" x14ac:dyDescent="0.2">
      <c r="A279" s="112"/>
      <c r="C279" s="8"/>
      <c r="D279" s="12"/>
      <c r="E279" s="8"/>
      <c r="F279" s="8"/>
      <c r="G279" s="9"/>
      <c r="H279" s="8"/>
      <c r="I279" s="329"/>
    </row>
    <row r="280" spans="1:9" ht="12" customHeight="1" x14ac:dyDescent="0.2">
      <c r="A280" s="112"/>
      <c r="C280" s="8"/>
      <c r="D280" s="12"/>
      <c r="E280" s="8"/>
      <c r="F280" s="8"/>
      <c r="G280" s="9"/>
      <c r="H280" s="8"/>
      <c r="I280" s="329"/>
    </row>
    <row r="281" spans="1:9" ht="12" customHeight="1" x14ac:dyDescent="0.2">
      <c r="A281" s="112"/>
      <c r="C281" s="8"/>
      <c r="D281" s="12"/>
      <c r="E281" s="8"/>
      <c r="F281" s="8"/>
      <c r="G281" s="9"/>
      <c r="H281" s="8"/>
      <c r="I281" s="329"/>
    </row>
    <row r="282" spans="1:9" ht="12" customHeight="1" x14ac:dyDescent="0.2">
      <c r="A282" s="112"/>
      <c r="C282" s="8"/>
      <c r="D282" s="12"/>
      <c r="E282" s="8"/>
      <c r="F282" s="8"/>
      <c r="G282" s="9"/>
      <c r="H282" s="8"/>
      <c r="I282" s="329"/>
    </row>
    <row r="283" spans="1:9" ht="12" customHeight="1" x14ac:dyDescent="0.2">
      <c r="A283" s="112"/>
      <c r="C283" s="8"/>
      <c r="D283" s="12"/>
      <c r="E283" s="8"/>
      <c r="F283" s="8"/>
      <c r="G283" s="9"/>
      <c r="H283" s="8"/>
      <c r="I283" s="329"/>
    </row>
    <row r="284" spans="1:9" ht="12" customHeight="1" x14ac:dyDescent="0.2">
      <c r="A284" s="112"/>
      <c r="C284" s="8"/>
      <c r="D284" s="12"/>
      <c r="E284" s="8"/>
      <c r="F284" s="8"/>
      <c r="G284" s="9"/>
      <c r="H284" s="8"/>
      <c r="I284" s="329"/>
    </row>
    <row r="285" spans="1:9" ht="12" customHeight="1" x14ac:dyDescent="0.2">
      <c r="I285" s="329"/>
    </row>
    <row r="286" spans="1:9" ht="12" customHeight="1" x14ac:dyDescent="0.2">
      <c r="A286" s="112"/>
      <c r="C286" s="2"/>
      <c r="D286" s="2"/>
      <c r="E286" s="2"/>
      <c r="F286" s="280"/>
      <c r="G286" s="2"/>
      <c r="H286" s="3"/>
      <c r="I286" s="329"/>
    </row>
    <row r="287" spans="1:9" ht="12" customHeight="1" x14ac:dyDescent="0.2">
      <c r="A287" s="112"/>
      <c r="C287" s="8"/>
      <c r="D287" s="12"/>
      <c r="E287" s="8"/>
      <c r="F287" s="8"/>
      <c r="G287" s="9"/>
      <c r="H287" s="8"/>
      <c r="I287" s="329"/>
    </row>
    <row r="288" spans="1:9" ht="12" customHeight="1" x14ac:dyDescent="0.2">
      <c r="A288" s="112"/>
      <c r="C288" s="8"/>
      <c r="D288" s="12"/>
      <c r="E288" s="8"/>
      <c r="F288" s="8"/>
      <c r="G288" s="9"/>
      <c r="H288" s="8"/>
      <c r="I288" s="329"/>
    </row>
    <row r="289" spans="1:9" ht="12" customHeight="1" x14ac:dyDescent="0.2">
      <c r="A289" s="112"/>
      <c r="C289" s="8"/>
      <c r="D289" s="12"/>
      <c r="E289" s="8"/>
      <c r="F289" s="8"/>
      <c r="G289" s="9"/>
      <c r="H289" s="8"/>
      <c r="I289" s="329"/>
    </row>
    <row r="290" spans="1:9" ht="12" customHeight="1" x14ac:dyDescent="0.2">
      <c r="A290" s="112"/>
      <c r="C290" s="8"/>
      <c r="D290" s="12"/>
      <c r="E290" s="8"/>
      <c r="F290" s="8"/>
      <c r="G290" s="9"/>
      <c r="H290" s="8"/>
      <c r="I290" s="329"/>
    </row>
    <row r="291" spans="1:9" ht="12" customHeight="1" x14ac:dyDescent="0.2">
      <c r="A291" s="112"/>
      <c r="C291" s="8"/>
      <c r="D291" s="12"/>
      <c r="E291" s="8"/>
      <c r="F291" s="8"/>
      <c r="G291" s="9"/>
      <c r="H291" s="8"/>
      <c r="I291" s="329"/>
    </row>
    <row r="292" spans="1:9" ht="12" customHeight="1" x14ac:dyDescent="0.2">
      <c r="A292" s="112"/>
      <c r="C292" s="8"/>
      <c r="D292" s="12"/>
      <c r="E292" s="8"/>
      <c r="F292" s="8"/>
      <c r="G292" s="9"/>
      <c r="H292" s="8"/>
      <c r="I292" s="329"/>
    </row>
    <row r="293" spans="1:9" ht="12" customHeight="1" x14ac:dyDescent="0.2">
      <c r="A293" s="112"/>
      <c r="C293" s="8"/>
      <c r="D293" s="12"/>
      <c r="E293" s="8"/>
      <c r="F293" s="8"/>
      <c r="G293" s="9"/>
      <c r="H293" s="8"/>
      <c r="I293" s="329"/>
    </row>
    <row r="294" spans="1:9" ht="12" customHeight="1" x14ac:dyDescent="0.2">
      <c r="A294" s="112"/>
      <c r="C294" s="8"/>
      <c r="D294" s="12"/>
      <c r="E294" s="8"/>
      <c r="F294" s="8"/>
      <c r="G294" s="9"/>
      <c r="H294" s="8"/>
      <c r="I294" s="329"/>
    </row>
    <row r="295" spans="1:9" ht="12" customHeight="1" x14ac:dyDescent="0.2">
      <c r="A295" s="112"/>
      <c r="C295" s="8"/>
      <c r="D295" s="12"/>
      <c r="E295" s="8"/>
      <c r="F295" s="8"/>
      <c r="G295" s="9"/>
      <c r="H295" s="8"/>
      <c r="I295" s="329"/>
    </row>
    <row r="296" spans="1:9" ht="12" customHeight="1" x14ac:dyDescent="0.2">
      <c r="A296" s="112"/>
      <c r="C296" s="8"/>
      <c r="D296" s="12"/>
      <c r="E296" s="8"/>
      <c r="F296" s="8"/>
      <c r="G296" s="9"/>
      <c r="H296" s="8"/>
      <c r="I296" s="329"/>
    </row>
    <row r="297" spans="1:9" ht="12" customHeight="1" x14ac:dyDescent="0.2">
      <c r="I297" s="329"/>
    </row>
    <row r="298" spans="1:9" ht="12" customHeight="1" x14ac:dyDescent="0.2">
      <c r="A298" s="112"/>
      <c r="C298" s="2"/>
      <c r="D298" s="2"/>
      <c r="E298" s="2"/>
      <c r="F298" s="280"/>
      <c r="G298" s="2"/>
      <c r="H298" s="3"/>
      <c r="I298" s="329"/>
    </row>
    <row r="299" spans="1:9" ht="12" customHeight="1" x14ac:dyDescent="0.2">
      <c r="A299" s="112"/>
      <c r="C299" s="8"/>
      <c r="D299" s="12"/>
      <c r="E299" s="8"/>
      <c r="F299" s="8"/>
      <c r="G299" s="9"/>
      <c r="H299" s="8"/>
      <c r="I299" s="329"/>
    </row>
    <row r="300" spans="1:9" ht="12" customHeight="1" x14ac:dyDescent="0.2">
      <c r="A300" s="112"/>
      <c r="C300" s="8"/>
      <c r="D300" s="12"/>
      <c r="E300" s="8"/>
      <c r="F300" s="8"/>
      <c r="G300" s="9"/>
      <c r="H300" s="8"/>
      <c r="I300" s="329"/>
    </row>
    <row r="301" spans="1:9" ht="12" customHeight="1" x14ac:dyDescent="0.2">
      <c r="A301" s="112"/>
      <c r="C301" s="8"/>
      <c r="D301" s="12"/>
      <c r="E301" s="8"/>
      <c r="F301" s="8"/>
      <c r="G301" s="9"/>
      <c r="H301" s="8"/>
      <c r="I301" s="329"/>
    </row>
    <row r="302" spans="1:9" ht="12" customHeight="1" x14ac:dyDescent="0.2">
      <c r="A302" s="112"/>
      <c r="C302" s="8"/>
      <c r="D302" s="12"/>
      <c r="E302" s="8"/>
      <c r="F302" s="8"/>
      <c r="G302" s="9"/>
      <c r="H302" s="8"/>
      <c r="I302" s="329"/>
    </row>
    <row r="303" spans="1:9" ht="12" customHeight="1" x14ac:dyDescent="0.2">
      <c r="A303" s="112"/>
      <c r="C303" s="8"/>
      <c r="D303" s="12"/>
      <c r="E303" s="8"/>
      <c r="F303" s="8"/>
      <c r="G303" s="9"/>
      <c r="H303" s="8"/>
      <c r="I303" s="329"/>
    </row>
    <row r="304" spans="1:9" ht="12" customHeight="1" x14ac:dyDescent="0.2">
      <c r="A304" s="112"/>
      <c r="C304" s="8"/>
      <c r="D304" s="12"/>
      <c r="E304" s="8"/>
      <c r="F304" s="8"/>
      <c r="G304" s="9"/>
      <c r="H304" s="8"/>
      <c r="I304" s="329"/>
    </row>
    <row r="305" spans="1:9" ht="12" customHeight="1" x14ac:dyDescent="0.2">
      <c r="A305" s="112"/>
      <c r="C305" s="8"/>
      <c r="D305" s="12"/>
      <c r="E305" s="8"/>
      <c r="F305" s="8"/>
      <c r="G305" s="9"/>
      <c r="H305" s="8"/>
      <c r="I305" s="329"/>
    </row>
    <row r="306" spans="1:9" ht="12" customHeight="1" x14ac:dyDescent="0.2">
      <c r="A306" s="112"/>
      <c r="C306" s="8"/>
      <c r="D306" s="12"/>
      <c r="E306" s="8"/>
      <c r="F306" s="8"/>
      <c r="G306" s="9"/>
      <c r="H306" s="8"/>
    </row>
    <row r="307" spans="1:9" ht="12" customHeight="1" x14ac:dyDescent="0.2">
      <c r="A307" s="112"/>
      <c r="C307" s="8"/>
      <c r="D307" s="12"/>
      <c r="E307" s="8"/>
      <c r="F307" s="8"/>
      <c r="G307" s="9"/>
      <c r="H307" s="8"/>
    </row>
    <row r="308" spans="1:9" ht="12" customHeight="1" x14ac:dyDescent="0.2">
      <c r="A308" s="112"/>
      <c r="C308" s="8"/>
      <c r="D308" s="12"/>
      <c r="E308" s="8"/>
      <c r="F308" s="8"/>
      <c r="G308" s="9"/>
      <c r="H308" s="8"/>
    </row>
    <row r="309" spans="1:9" ht="12" customHeight="1" x14ac:dyDescent="0.2"/>
    <row r="310" spans="1:9" ht="12" customHeight="1" x14ac:dyDescent="0.2">
      <c r="A310" s="113"/>
      <c r="C310" s="14"/>
      <c r="D310" s="14"/>
      <c r="E310" s="14"/>
      <c r="F310" s="27"/>
      <c r="G310" s="14"/>
      <c r="H310" s="14"/>
    </row>
    <row r="311" spans="1:9" ht="12" customHeight="1" x14ac:dyDescent="0.2">
      <c r="A311" s="113"/>
      <c r="C311" s="14"/>
      <c r="D311" s="14"/>
      <c r="E311" s="14"/>
      <c r="F311" s="27"/>
      <c r="G311" s="14"/>
      <c r="H311" s="14"/>
    </row>
    <row r="312" spans="1:9" ht="12" customHeight="1" x14ac:dyDescent="0.2">
      <c r="A312" s="113"/>
      <c r="C312" s="14"/>
      <c r="D312" s="14"/>
      <c r="E312" s="14"/>
      <c r="F312" s="27"/>
      <c r="G312" s="14"/>
      <c r="H312" s="14"/>
    </row>
    <row r="313" spans="1:9" ht="12" customHeight="1" x14ac:dyDescent="0.2">
      <c r="A313" s="113"/>
      <c r="C313" s="14"/>
      <c r="D313" s="14"/>
      <c r="E313" s="14"/>
      <c r="F313" s="27"/>
      <c r="G313" s="14"/>
      <c r="H313" s="14"/>
    </row>
    <row r="314" spans="1:9" ht="12" customHeight="1" x14ac:dyDescent="0.2">
      <c r="A314" s="113"/>
      <c r="C314" s="14"/>
      <c r="D314" s="14"/>
      <c r="E314" s="14"/>
      <c r="F314" s="27"/>
      <c r="G314" s="14"/>
      <c r="H314" s="14"/>
    </row>
    <row r="315" spans="1:9" ht="12" customHeight="1" x14ac:dyDescent="0.2">
      <c r="A315" s="113"/>
      <c r="C315" s="14"/>
      <c r="D315" s="14"/>
      <c r="E315" s="14"/>
      <c r="F315" s="27"/>
      <c r="G315" s="14"/>
      <c r="H315" s="14"/>
    </row>
    <row r="316" spans="1:9" ht="12" customHeight="1" x14ac:dyDescent="0.2">
      <c r="A316" s="113"/>
      <c r="C316" s="14"/>
      <c r="D316" s="14"/>
      <c r="E316" s="14"/>
      <c r="F316" s="27"/>
      <c r="G316" s="14"/>
      <c r="H316" s="14"/>
    </row>
    <row r="317" spans="1:9" ht="12" customHeight="1" x14ac:dyDescent="0.2">
      <c r="A317" s="113"/>
      <c r="C317" s="14"/>
      <c r="D317" s="14"/>
      <c r="E317" s="14"/>
      <c r="F317" s="27"/>
      <c r="G317" s="14"/>
      <c r="H317" s="14"/>
    </row>
    <row r="318" spans="1:9" ht="12" customHeight="1" x14ac:dyDescent="0.2">
      <c r="A318" s="113"/>
      <c r="C318" s="14"/>
      <c r="D318" s="14"/>
      <c r="E318" s="14"/>
      <c r="F318" s="27"/>
      <c r="G318" s="14"/>
      <c r="H318" s="14"/>
    </row>
    <row r="319" spans="1:9" ht="12" customHeight="1" x14ac:dyDescent="0.2">
      <c r="A319" s="113"/>
      <c r="C319" s="14"/>
      <c r="D319" s="14"/>
      <c r="E319" s="14"/>
      <c r="F319" s="27"/>
      <c r="G319" s="14"/>
      <c r="H319" s="14"/>
    </row>
    <row r="320" spans="1:9" ht="12" customHeight="1" x14ac:dyDescent="0.2">
      <c r="A320" s="113"/>
      <c r="C320" s="14"/>
      <c r="D320" s="14"/>
      <c r="E320" s="14"/>
      <c r="F320" s="27"/>
      <c r="G320" s="14"/>
      <c r="H320" s="14"/>
    </row>
    <row r="321" spans="1:8" ht="12" customHeight="1" x14ac:dyDescent="0.2">
      <c r="A321" s="113"/>
      <c r="C321" s="14"/>
      <c r="D321" s="14"/>
      <c r="E321" s="14"/>
      <c r="F321" s="27"/>
      <c r="G321" s="14"/>
      <c r="H321" s="14"/>
    </row>
    <row r="322" spans="1:8" ht="12" customHeight="1" x14ac:dyDescent="0.2">
      <c r="A322" s="113"/>
      <c r="C322" s="14"/>
      <c r="D322" s="14"/>
      <c r="E322" s="14"/>
      <c r="F322" s="27"/>
      <c r="G322" s="14"/>
      <c r="H322" s="14"/>
    </row>
    <row r="323" spans="1:8" ht="12" customHeight="1" x14ac:dyDescent="0.2">
      <c r="A323" s="113"/>
      <c r="C323" s="14"/>
      <c r="D323" s="14"/>
      <c r="E323" s="14"/>
      <c r="F323" s="27"/>
      <c r="G323" s="14"/>
      <c r="H323" s="14"/>
    </row>
    <row r="324" spans="1:8" ht="12" customHeight="1" x14ac:dyDescent="0.2">
      <c r="A324" s="113"/>
      <c r="C324" s="14"/>
      <c r="D324" s="14"/>
      <c r="E324" s="14"/>
      <c r="F324" s="27"/>
      <c r="G324" s="14"/>
      <c r="H324" s="14"/>
    </row>
    <row r="325" spans="1:8" ht="12" customHeight="1" x14ac:dyDescent="0.2">
      <c r="A325" s="113"/>
      <c r="C325" s="14"/>
      <c r="D325" s="14"/>
      <c r="E325" s="14"/>
      <c r="F325" s="27"/>
      <c r="G325" s="14"/>
      <c r="H325" s="14"/>
    </row>
    <row r="326" spans="1:8" ht="11.1" customHeight="1" x14ac:dyDescent="0.2">
      <c r="A326" s="113"/>
      <c r="C326" s="14"/>
      <c r="D326" s="14"/>
      <c r="E326" s="14"/>
      <c r="F326" s="27"/>
      <c r="G326" s="14"/>
      <c r="H326" s="14"/>
    </row>
    <row r="327" spans="1:8" ht="11.1" customHeight="1" x14ac:dyDescent="0.2">
      <c r="A327" s="113"/>
      <c r="C327" s="14"/>
      <c r="D327" s="14"/>
      <c r="E327" s="14"/>
      <c r="F327" s="27"/>
      <c r="G327" s="14"/>
      <c r="H327" s="14"/>
    </row>
    <row r="328" spans="1:8" ht="11.1" customHeight="1" x14ac:dyDescent="0.2">
      <c r="A328" s="113"/>
      <c r="C328" s="14"/>
      <c r="D328" s="14"/>
      <c r="E328" s="14"/>
      <c r="F328" s="27"/>
      <c r="G328" s="14"/>
      <c r="H328" s="14"/>
    </row>
    <row r="329" spans="1:8" ht="11.1" customHeight="1" x14ac:dyDescent="0.2">
      <c r="A329" s="113"/>
      <c r="C329" s="14"/>
      <c r="D329" s="14"/>
      <c r="E329" s="14"/>
      <c r="F329" s="27"/>
      <c r="G329" s="14"/>
      <c r="H329" s="14"/>
    </row>
    <row r="330" spans="1:8" ht="11.1" customHeight="1" x14ac:dyDescent="0.2">
      <c r="A330" s="113"/>
      <c r="C330" s="14"/>
      <c r="D330" s="14"/>
      <c r="E330" s="14"/>
      <c r="F330" s="27"/>
      <c r="G330" s="14"/>
      <c r="H330" s="14"/>
    </row>
    <row r="331" spans="1:8" ht="11.1" customHeight="1" x14ac:dyDescent="0.2">
      <c r="A331" s="113"/>
      <c r="C331" s="14"/>
      <c r="D331" s="14"/>
      <c r="E331" s="14"/>
      <c r="F331" s="27"/>
      <c r="G331" s="14"/>
      <c r="H331" s="14"/>
    </row>
    <row r="332" spans="1:8" ht="11.1" customHeight="1" x14ac:dyDescent="0.2">
      <c r="A332" s="113"/>
      <c r="C332" s="14"/>
      <c r="D332" s="14"/>
      <c r="E332" s="14"/>
      <c r="F332" s="27"/>
      <c r="G332" s="14"/>
      <c r="H332" s="14"/>
    </row>
    <row r="333" spans="1:8" ht="11.1" customHeight="1" x14ac:dyDescent="0.2"/>
    <row r="334" spans="1:8" ht="11.1" customHeight="1" x14ac:dyDescent="0.2"/>
    <row r="335" spans="1:8" ht="11.1" customHeight="1" x14ac:dyDescent="0.2"/>
    <row r="336" spans="1:8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  <row r="366" ht="11.1" customHeight="1" x14ac:dyDescent="0.2"/>
    <row r="367" ht="11.1" customHeight="1" x14ac:dyDescent="0.2"/>
    <row r="368" ht="11.1" customHeight="1" x14ac:dyDescent="0.2"/>
    <row r="369" ht="11.1" customHeight="1" x14ac:dyDescent="0.2"/>
    <row r="370" ht="11.1" customHeight="1" x14ac:dyDescent="0.2"/>
    <row r="371" ht="11.1" customHeight="1" x14ac:dyDescent="0.2"/>
    <row r="372" ht="11.1" customHeight="1" x14ac:dyDescent="0.2"/>
    <row r="373" ht="11.1" customHeight="1" x14ac:dyDescent="0.2"/>
    <row r="374" ht="11.1" customHeight="1" x14ac:dyDescent="0.2"/>
    <row r="375" ht="11.1" customHeight="1" x14ac:dyDescent="0.2"/>
    <row r="376" ht="11.1" customHeight="1" x14ac:dyDescent="0.2"/>
    <row r="377" ht="11.1" customHeight="1" x14ac:dyDescent="0.2"/>
    <row r="378" ht="11.1" customHeight="1" x14ac:dyDescent="0.2"/>
    <row r="379" ht="11.1" customHeight="1" x14ac:dyDescent="0.2"/>
    <row r="380" ht="11.1" customHeight="1" x14ac:dyDescent="0.2"/>
    <row r="381" ht="11.1" customHeight="1" x14ac:dyDescent="0.2"/>
    <row r="382" ht="11.1" customHeight="1" x14ac:dyDescent="0.2"/>
    <row r="383" ht="11.1" customHeight="1" x14ac:dyDescent="0.2"/>
    <row r="384" ht="11.1" customHeight="1" x14ac:dyDescent="0.2"/>
    <row r="385" ht="11.1" customHeight="1" x14ac:dyDescent="0.2"/>
    <row r="386" ht="11.1" customHeight="1" x14ac:dyDescent="0.2"/>
    <row r="387" ht="11.1" customHeight="1" x14ac:dyDescent="0.2"/>
    <row r="388" ht="11.1" customHeight="1" x14ac:dyDescent="0.2"/>
    <row r="389" ht="11.1" customHeight="1" x14ac:dyDescent="0.2"/>
    <row r="390" ht="11.1" customHeight="1" x14ac:dyDescent="0.2"/>
    <row r="391" ht="11.1" customHeight="1" x14ac:dyDescent="0.2"/>
    <row r="392" ht="11.1" customHeight="1" x14ac:dyDescent="0.2"/>
    <row r="393" ht="11.1" customHeight="1" x14ac:dyDescent="0.2"/>
    <row r="394" ht="11.1" customHeight="1" x14ac:dyDescent="0.2"/>
    <row r="395" ht="11.1" customHeight="1" x14ac:dyDescent="0.2"/>
    <row r="396" ht="11.1" customHeight="1" x14ac:dyDescent="0.2"/>
    <row r="397" ht="11.1" customHeight="1" x14ac:dyDescent="0.2"/>
    <row r="398" ht="11.1" customHeight="1" x14ac:dyDescent="0.2"/>
    <row r="399" ht="11.1" customHeight="1" x14ac:dyDescent="0.2"/>
    <row r="400" ht="11.1" customHeight="1" x14ac:dyDescent="0.2"/>
    <row r="401" ht="11.1" customHeight="1" x14ac:dyDescent="0.2"/>
    <row r="402" ht="11.1" customHeight="1" x14ac:dyDescent="0.2"/>
    <row r="403" ht="11.1" customHeight="1" x14ac:dyDescent="0.2"/>
    <row r="404" ht="11.1" customHeight="1" x14ac:dyDescent="0.2"/>
    <row r="405" ht="11.1" customHeight="1" x14ac:dyDescent="0.2"/>
    <row r="406" ht="11.1" customHeight="1" x14ac:dyDescent="0.2"/>
    <row r="407" ht="11.1" customHeight="1" x14ac:dyDescent="0.2"/>
    <row r="408" ht="11.1" customHeight="1" x14ac:dyDescent="0.2"/>
    <row r="409" ht="11.1" customHeight="1" x14ac:dyDescent="0.2"/>
    <row r="410" ht="11.1" customHeight="1" x14ac:dyDescent="0.2"/>
    <row r="411" ht="11.1" customHeight="1" x14ac:dyDescent="0.2"/>
    <row r="412" ht="11.1" customHeight="1" x14ac:dyDescent="0.2"/>
    <row r="413" ht="11.1" customHeight="1" x14ac:dyDescent="0.2"/>
    <row r="414" ht="11.1" customHeight="1" x14ac:dyDescent="0.2"/>
    <row r="415" ht="11.1" customHeight="1" x14ac:dyDescent="0.2"/>
    <row r="416" ht="11.1" customHeight="1" x14ac:dyDescent="0.2"/>
    <row r="417" ht="11.1" customHeight="1" x14ac:dyDescent="0.2"/>
    <row r="418" ht="11.1" customHeight="1" x14ac:dyDescent="0.2"/>
    <row r="419" ht="11.1" customHeight="1" x14ac:dyDescent="0.2"/>
    <row r="420" ht="11.1" customHeight="1" x14ac:dyDescent="0.2"/>
    <row r="421" ht="11.1" customHeight="1" x14ac:dyDescent="0.2"/>
    <row r="422" ht="11.1" customHeight="1" x14ac:dyDescent="0.2"/>
    <row r="423" ht="11.1" customHeight="1" x14ac:dyDescent="0.2"/>
    <row r="424" ht="11.1" customHeight="1" x14ac:dyDescent="0.2"/>
    <row r="425" ht="11.1" customHeight="1" x14ac:dyDescent="0.2"/>
    <row r="426" ht="11.1" customHeight="1" x14ac:dyDescent="0.2"/>
    <row r="427" ht="11.1" customHeight="1" x14ac:dyDescent="0.2"/>
    <row r="428" ht="11.1" customHeight="1" x14ac:dyDescent="0.2"/>
    <row r="429" ht="11.1" customHeight="1" x14ac:dyDescent="0.2"/>
    <row r="430" ht="11.1" customHeight="1" x14ac:dyDescent="0.2"/>
    <row r="431" ht="11.1" customHeight="1" x14ac:dyDescent="0.2"/>
    <row r="432" ht="11.1" customHeight="1" x14ac:dyDescent="0.2"/>
    <row r="433" ht="11.1" customHeight="1" x14ac:dyDescent="0.2"/>
  </sheetData>
  <mergeCells count="1">
    <mergeCell ref="A1:I1"/>
  </mergeCells>
  <phoneticPr fontId="2" type="noConversion"/>
  <conditionalFormatting sqref="J243 J23 J44 J55 J154 J165 J176 J198">
    <cfRule type="cellIs" dxfId="53" priority="169" stopIfTrue="1" operator="lessThanOrEqual">
      <formula>-0.1</formula>
    </cfRule>
    <cfRule type="cellIs" dxfId="52" priority="170" stopIfTrue="1" operator="greaterThanOrEqual">
      <formula>0.1</formula>
    </cfRule>
  </conditionalFormatting>
  <conditionalFormatting sqref="J11">
    <cfRule type="cellIs" dxfId="51" priority="43" stopIfTrue="1" operator="lessThanOrEqual">
      <formula>-0.1</formula>
    </cfRule>
    <cfRule type="cellIs" dxfId="50" priority="44" stopIfTrue="1" operator="greaterThanOrEqual">
      <formula>0.1</formula>
    </cfRule>
  </conditionalFormatting>
  <conditionalFormatting sqref="J22">
    <cfRule type="cellIs" dxfId="49" priority="41" stopIfTrue="1" operator="lessThanOrEqual">
      <formula>-0.1</formula>
    </cfRule>
    <cfRule type="cellIs" dxfId="48" priority="42" stopIfTrue="1" operator="greaterThanOrEqual">
      <formula>0.1</formula>
    </cfRule>
  </conditionalFormatting>
  <conditionalFormatting sqref="J33">
    <cfRule type="cellIs" dxfId="47" priority="39" stopIfTrue="1" operator="lessThanOrEqual">
      <formula>-0.1</formula>
    </cfRule>
    <cfRule type="cellIs" dxfId="46" priority="40" stopIfTrue="1" operator="greaterThanOrEqual">
      <formula>0.1</formula>
    </cfRule>
  </conditionalFormatting>
  <conditionalFormatting sqref="J43">
    <cfRule type="cellIs" dxfId="45" priority="37" stopIfTrue="1" operator="lessThanOrEqual">
      <formula>-0.1</formula>
    </cfRule>
    <cfRule type="cellIs" dxfId="44" priority="38" stopIfTrue="1" operator="greaterThanOrEqual">
      <formula>0.1</formula>
    </cfRule>
  </conditionalFormatting>
  <conditionalFormatting sqref="J54">
    <cfRule type="cellIs" dxfId="43" priority="35" stopIfTrue="1" operator="lessThanOrEqual">
      <formula>-0.1</formula>
    </cfRule>
    <cfRule type="cellIs" dxfId="42" priority="36" stopIfTrue="1" operator="greaterThanOrEqual">
      <formula>0.1</formula>
    </cfRule>
  </conditionalFormatting>
  <conditionalFormatting sqref="J65">
    <cfRule type="cellIs" dxfId="41" priority="33" stopIfTrue="1" operator="lessThanOrEqual">
      <formula>-0.1</formula>
    </cfRule>
    <cfRule type="cellIs" dxfId="40" priority="34" stopIfTrue="1" operator="greaterThanOrEqual">
      <formula>0.1</formula>
    </cfRule>
  </conditionalFormatting>
  <conditionalFormatting sqref="J87">
    <cfRule type="cellIs" dxfId="39" priority="29" stopIfTrue="1" operator="lessThanOrEqual">
      <formula>-0.1</formula>
    </cfRule>
    <cfRule type="cellIs" dxfId="38" priority="30" stopIfTrue="1" operator="greaterThanOrEqual">
      <formula>0.1</formula>
    </cfRule>
  </conditionalFormatting>
  <conditionalFormatting sqref="J98">
    <cfRule type="cellIs" dxfId="37" priority="27" stopIfTrue="1" operator="lessThanOrEqual">
      <formula>-0.1</formula>
    </cfRule>
    <cfRule type="cellIs" dxfId="36" priority="28" stopIfTrue="1" operator="greaterThanOrEqual">
      <formula>0.1</formula>
    </cfRule>
  </conditionalFormatting>
  <conditionalFormatting sqref="J109">
    <cfRule type="cellIs" dxfId="35" priority="25" stopIfTrue="1" operator="lessThanOrEqual">
      <formula>-0.1</formula>
    </cfRule>
    <cfRule type="cellIs" dxfId="34" priority="26" stopIfTrue="1" operator="greaterThanOrEqual">
      <formula>0.1</formula>
    </cfRule>
  </conditionalFormatting>
  <conditionalFormatting sqref="J120">
    <cfRule type="cellIs" dxfId="33" priority="23" stopIfTrue="1" operator="lessThanOrEqual">
      <formula>-0.1</formula>
    </cfRule>
    <cfRule type="cellIs" dxfId="32" priority="24" stopIfTrue="1" operator="greaterThanOrEqual">
      <formula>0.1</formula>
    </cfRule>
  </conditionalFormatting>
  <conditionalFormatting sqref="J131">
    <cfRule type="cellIs" dxfId="31" priority="21" stopIfTrue="1" operator="lessThanOrEqual">
      <formula>-0.1</formula>
    </cfRule>
    <cfRule type="cellIs" dxfId="30" priority="22" stopIfTrue="1" operator="greaterThanOrEqual">
      <formula>0.1</formula>
    </cfRule>
  </conditionalFormatting>
  <conditionalFormatting sqref="J142:J143">
    <cfRule type="cellIs" dxfId="29" priority="19" stopIfTrue="1" operator="lessThanOrEqual">
      <formula>-0.1</formula>
    </cfRule>
    <cfRule type="cellIs" dxfId="28" priority="20" stopIfTrue="1" operator="greaterThanOrEqual">
      <formula>0.1</formula>
    </cfRule>
  </conditionalFormatting>
  <conditionalFormatting sqref="J153">
    <cfRule type="cellIs" dxfId="27" priority="17" stopIfTrue="1" operator="lessThanOrEqual">
      <formula>-0.1</formula>
    </cfRule>
    <cfRule type="cellIs" dxfId="26" priority="18" stopIfTrue="1" operator="greaterThanOrEqual">
      <formula>0.1</formula>
    </cfRule>
  </conditionalFormatting>
  <conditionalFormatting sqref="J164">
    <cfRule type="cellIs" dxfId="25" priority="15" stopIfTrue="1" operator="lessThanOrEqual">
      <formula>-0.1</formula>
    </cfRule>
    <cfRule type="cellIs" dxfId="24" priority="16" stopIfTrue="1" operator="greaterThanOrEqual">
      <formula>0.1</formula>
    </cfRule>
  </conditionalFormatting>
  <conditionalFormatting sqref="J175">
    <cfRule type="cellIs" dxfId="23" priority="13" stopIfTrue="1" operator="lessThanOrEqual">
      <formula>-0.1</formula>
    </cfRule>
    <cfRule type="cellIs" dxfId="22" priority="14" stopIfTrue="1" operator="greaterThanOrEqual">
      <formula>0.1</formula>
    </cfRule>
  </conditionalFormatting>
  <conditionalFormatting sqref="J186:J187">
    <cfRule type="cellIs" dxfId="21" priority="11" stopIfTrue="1" operator="lessThanOrEqual">
      <formula>-0.1</formula>
    </cfRule>
    <cfRule type="cellIs" dxfId="20" priority="12" stopIfTrue="1" operator="greaterThanOrEqual">
      <formula>0.1</formula>
    </cfRule>
  </conditionalFormatting>
  <conditionalFormatting sqref="J208">
    <cfRule type="cellIs" dxfId="19" priority="7" stopIfTrue="1" operator="lessThanOrEqual">
      <formula>-0.1</formula>
    </cfRule>
    <cfRule type="cellIs" dxfId="18" priority="8" stopIfTrue="1" operator="greaterThanOrEqual">
      <formula>0.1</formula>
    </cfRule>
  </conditionalFormatting>
  <conditionalFormatting sqref="J230">
    <cfRule type="cellIs" dxfId="17" priority="5" stopIfTrue="1" operator="lessThanOrEqual">
      <formula>-0.1</formula>
    </cfRule>
    <cfRule type="cellIs" dxfId="16" priority="6" stopIfTrue="1" operator="greaterThanOrEqual">
      <formula>0.1</formula>
    </cfRule>
  </conditionalFormatting>
  <conditionalFormatting sqref="J219">
    <cfRule type="cellIs" dxfId="15" priority="3" stopIfTrue="1" operator="lessThanOrEqual">
      <formula>-0.1</formula>
    </cfRule>
    <cfRule type="cellIs" dxfId="14" priority="4" stopIfTrue="1" operator="greaterThanOrEqual">
      <formula>0.1</formula>
    </cfRule>
  </conditionalFormatting>
  <conditionalFormatting sqref="J76">
    <cfRule type="cellIs" dxfId="13" priority="1" stopIfTrue="1" operator="lessThanOrEqual">
      <formula>-0.1</formula>
    </cfRule>
    <cfRule type="cellIs" dxfId="12" priority="2" stopIfTrue="1" operator="greaterThanOrEqual">
      <formula>0.1</formula>
    </cfRule>
  </conditionalFormatting>
  <printOptions horizontalCentered="1"/>
  <pageMargins left="0.5" right="0.5" top="0.5" bottom="0.25" header="0.5" footer="0.5"/>
  <pageSetup firstPageNumber="47" orientation="portrait" useFirstPageNumber="1" r:id="rId1"/>
  <headerFooter alignWithMargins="0"/>
  <rowBreaks count="4" manualBreakCount="4">
    <brk id="58" max="8" man="1"/>
    <brk id="112" max="8" man="1"/>
    <brk id="167" max="8" man="1"/>
    <brk id="222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2A6F1F"/>
    <pageSetUpPr fitToPage="1"/>
  </sheetPr>
  <dimension ref="A1:M35"/>
  <sheetViews>
    <sheetView zoomScale="130" zoomScaleNormal="130" workbookViewId="0">
      <selection sqref="A1:K1"/>
    </sheetView>
  </sheetViews>
  <sheetFormatPr defaultRowHeight="12.75" x14ac:dyDescent="0.2"/>
  <cols>
    <col min="1" max="1" width="16.28515625" customWidth="1"/>
    <col min="2" max="11" width="7.7109375" customWidth="1"/>
  </cols>
  <sheetData>
    <row r="1" spans="1:13" ht="16.5" customHeight="1" x14ac:dyDescent="0.2">
      <c r="A1" s="558" t="s">
        <v>146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3" x14ac:dyDescent="0.2">
      <c r="A2" s="180" t="s">
        <v>0</v>
      </c>
      <c r="B2" s="105">
        <v>2011</v>
      </c>
      <c r="C2" s="105">
        <v>2012</v>
      </c>
      <c r="D2" s="105">
        <v>2013</v>
      </c>
      <c r="E2" s="105">
        <v>2014</v>
      </c>
      <c r="F2" s="105">
        <v>2015</v>
      </c>
      <c r="G2" s="105">
        <v>2016</v>
      </c>
      <c r="H2" s="105">
        <v>2017</v>
      </c>
      <c r="I2" s="105">
        <v>2018</v>
      </c>
      <c r="J2" s="105">
        <v>2019</v>
      </c>
      <c r="K2" s="105">
        <v>2020</v>
      </c>
    </row>
    <row r="3" spans="1:13" ht="13.15" customHeight="1" x14ac:dyDescent="0.2">
      <c r="A3" s="580" t="s">
        <v>47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</row>
    <row r="4" spans="1:13" ht="12" customHeight="1" x14ac:dyDescent="0.2">
      <c r="A4" s="348" t="s">
        <v>30</v>
      </c>
      <c r="B4" s="268">
        <v>5000</v>
      </c>
      <c r="C4" s="270" t="s">
        <v>77</v>
      </c>
      <c r="D4" s="270" t="s">
        <v>77</v>
      </c>
      <c r="E4" s="272" t="s">
        <v>77</v>
      </c>
      <c r="F4" s="272" t="s">
        <v>77</v>
      </c>
      <c r="G4" s="272" t="s">
        <v>77</v>
      </c>
      <c r="H4" s="271" t="s">
        <v>77</v>
      </c>
      <c r="I4" s="271" t="s">
        <v>77</v>
      </c>
      <c r="J4" s="271" t="s">
        <v>77</v>
      </c>
      <c r="K4" s="271" t="s">
        <v>77</v>
      </c>
      <c r="L4" s="475"/>
    </row>
    <row r="5" spans="1:13" ht="12" customHeight="1" x14ac:dyDescent="0.2">
      <c r="A5" s="348" t="s">
        <v>31</v>
      </c>
      <c r="B5" s="270" t="s">
        <v>77</v>
      </c>
      <c r="C5" s="270" t="s">
        <v>77</v>
      </c>
      <c r="D5" s="270" t="s">
        <v>77</v>
      </c>
      <c r="E5" s="272" t="s">
        <v>77</v>
      </c>
      <c r="F5" s="272" t="s">
        <v>77</v>
      </c>
      <c r="G5" s="272" t="s">
        <v>77</v>
      </c>
      <c r="H5" s="271" t="s">
        <v>77</v>
      </c>
      <c r="I5" s="271" t="s">
        <v>77</v>
      </c>
      <c r="J5" s="271" t="s">
        <v>77</v>
      </c>
      <c r="K5" s="271" t="s">
        <v>77</v>
      </c>
      <c r="L5" s="475"/>
    </row>
    <row r="6" spans="1:13" ht="12" customHeight="1" x14ac:dyDescent="0.2">
      <c r="A6" s="348" t="s">
        <v>33</v>
      </c>
      <c r="B6" s="352" t="s">
        <v>77</v>
      </c>
      <c r="C6" s="352" t="s">
        <v>77</v>
      </c>
      <c r="D6" s="352" t="s">
        <v>77</v>
      </c>
      <c r="E6" s="271">
        <v>2900</v>
      </c>
      <c r="F6" s="272" t="s">
        <v>77</v>
      </c>
      <c r="G6" s="272" t="s">
        <v>77</v>
      </c>
      <c r="H6" s="271" t="s">
        <v>77</v>
      </c>
      <c r="I6" s="271" t="s">
        <v>77</v>
      </c>
      <c r="J6" s="271" t="s">
        <v>77</v>
      </c>
      <c r="K6" s="271" t="s">
        <v>77</v>
      </c>
      <c r="L6" s="475"/>
    </row>
    <row r="7" spans="1:13" ht="12" customHeight="1" x14ac:dyDescent="0.2">
      <c r="A7" s="348" t="s">
        <v>48</v>
      </c>
      <c r="B7" s="270" t="s">
        <v>77</v>
      </c>
      <c r="C7" s="270" t="s">
        <v>77</v>
      </c>
      <c r="D7" s="270" t="s">
        <v>77</v>
      </c>
      <c r="E7" s="353" t="s">
        <v>77</v>
      </c>
      <c r="F7" s="353" t="s">
        <v>77</v>
      </c>
      <c r="G7" s="353" t="s">
        <v>77</v>
      </c>
      <c r="H7" s="271" t="s">
        <v>77</v>
      </c>
      <c r="I7" s="271" t="s">
        <v>77</v>
      </c>
      <c r="J7" s="271" t="s">
        <v>77</v>
      </c>
      <c r="K7" s="271" t="s">
        <v>77</v>
      </c>
      <c r="L7" s="475"/>
    </row>
    <row r="8" spans="1:13" ht="12" customHeight="1" x14ac:dyDescent="0.2">
      <c r="A8" s="348" t="s">
        <v>36</v>
      </c>
      <c r="B8" s="270" t="s">
        <v>77</v>
      </c>
      <c r="C8" s="270" t="s">
        <v>77</v>
      </c>
      <c r="D8" s="270" t="s">
        <v>77</v>
      </c>
      <c r="E8" s="272" t="s">
        <v>77</v>
      </c>
      <c r="F8" s="272" t="s">
        <v>77</v>
      </c>
      <c r="G8" s="272" t="s">
        <v>77</v>
      </c>
      <c r="H8" s="271" t="s">
        <v>77</v>
      </c>
      <c r="I8" s="271" t="s">
        <v>77</v>
      </c>
      <c r="J8" s="271" t="s">
        <v>77</v>
      </c>
      <c r="K8" s="271" t="s">
        <v>77</v>
      </c>
      <c r="L8" s="475"/>
    </row>
    <row r="9" spans="1:13" ht="12" customHeight="1" x14ac:dyDescent="0.2">
      <c r="A9" s="348" t="s">
        <v>39</v>
      </c>
      <c r="B9" s="270" t="s">
        <v>77</v>
      </c>
      <c r="C9" s="270" t="s">
        <v>77</v>
      </c>
      <c r="D9" s="270" t="s">
        <v>77</v>
      </c>
      <c r="E9" s="272" t="s">
        <v>77</v>
      </c>
      <c r="F9" s="272" t="s">
        <v>77</v>
      </c>
      <c r="G9" s="272" t="s">
        <v>77</v>
      </c>
      <c r="H9" s="271" t="s">
        <v>77</v>
      </c>
      <c r="I9" s="271" t="s">
        <v>77</v>
      </c>
      <c r="J9" s="271" t="s">
        <v>77</v>
      </c>
      <c r="K9" s="271" t="s">
        <v>77</v>
      </c>
      <c r="L9" s="475"/>
    </row>
    <row r="10" spans="1:13" ht="12" customHeight="1" x14ac:dyDescent="0.2">
      <c r="A10" s="348" t="s">
        <v>41</v>
      </c>
      <c r="B10" s="270" t="s">
        <v>77</v>
      </c>
      <c r="C10" s="270" t="s">
        <v>77</v>
      </c>
      <c r="D10" s="270" t="s">
        <v>77</v>
      </c>
      <c r="E10" s="272" t="s">
        <v>77</v>
      </c>
      <c r="F10" s="272" t="s">
        <v>77</v>
      </c>
      <c r="G10" s="272" t="s">
        <v>77</v>
      </c>
      <c r="H10" s="271" t="s">
        <v>77</v>
      </c>
      <c r="I10" s="271" t="s">
        <v>77</v>
      </c>
      <c r="J10" s="271" t="s">
        <v>77</v>
      </c>
      <c r="K10" s="271" t="s">
        <v>77</v>
      </c>
      <c r="L10" s="475"/>
    </row>
    <row r="11" spans="1:13" ht="12" customHeight="1" x14ac:dyDescent="0.2">
      <c r="A11" s="348" t="s">
        <v>43</v>
      </c>
      <c r="B11" s="270" t="s">
        <v>77</v>
      </c>
      <c r="C11" s="270" t="s">
        <v>77</v>
      </c>
      <c r="D11" s="268">
        <v>1000</v>
      </c>
      <c r="E11" s="272" t="s">
        <v>77</v>
      </c>
      <c r="F11" s="272" t="s">
        <v>77</v>
      </c>
      <c r="G11" s="272" t="s">
        <v>77</v>
      </c>
      <c r="H11" s="271" t="s">
        <v>77</v>
      </c>
      <c r="I11" s="271" t="s">
        <v>77</v>
      </c>
      <c r="J11" s="271" t="s">
        <v>77</v>
      </c>
      <c r="K11" s="271" t="s">
        <v>77</v>
      </c>
      <c r="L11" s="475"/>
    </row>
    <row r="12" spans="1:13" ht="12" customHeight="1" x14ac:dyDescent="0.2">
      <c r="A12" s="348" t="s">
        <v>137</v>
      </c>
      <c r="B12" s="270" t="s">
        <v>77</v>
      </c>
      <c r="C12" s="270" t="s">
        <v>77</v>
      </c>
      <c r="D12" s="270" t="s">
        <v>77</v>
      </c>
      <c r="E12" s="272" t="s">
        <v>77</v>
      </c>
      <c r="F12" s="272" t="s">
        <v>77</v>
      </c>
      <c r="G12" s="272" t="s">
        <v>77</v>
      </c>
      <c r="H12" s="271" t="s">
        <v>77</v>
      </c>
      <c r="I12" s="271" t="s">
        <v>77</v>
      </c>
      <c r="J12" s="271" t="s">
        <v>77</v>
      </c>
      <c r="K12" s="271" t="s">
        <v>77</v>
      </c>
      <c r="L12" s="475"/>
    </row>
    <row r="13" spans="1:13" ht="12" customHeight="1" x14ac:dyDescent="0.2">
      <c r="A13" s="349"/>
      <c r="B13" s="354"/>
      <c r="C13" s="354"/>
      <c r="D13" s="354"/>
      <c r="E13" s="354"/>
      <c r="F13" s="354"/>
      <c r="G13" s="355"/>
      <c r="H13" s="356"/>
      <c r="I13" s="356"/>
      <c r="J13" s="347"/>
      <c r="K13" s="347"/>
    </row>
    <row r="14" spans="1:13" s="123" customFormat="1" ht="13.15" customHeight="1" x14ac:dyDescent="0.2">
      <c r="A14" s="581" t="s">
        <v>49</v>
      </c>
      <c r="B14" s="581"/>
      <c r="C14" s="581"/>
      <c r="D14" s="581"/>
      <c r="E14" s="581"/>
      <c r="F14" s="581"/>
      <c r="G14" s="581"/>
      <c r="H14" s="581"/>
      <c r="I14" s="581"/>
      <c r="J14" s="581"/>
      <c r="K14" s="581"/>
    </row>
    <row r="15" spans="1:13" ht="12" customHeight="1" x14ac:dyDescent="0.2">
      <c r="A15" s="348" t="s">
        <v>30</v>
      </c>
      <c r="B15" s="268" t="s">
        <v>77</v>
      </c>
      <c r="C15" s="268" t="s">
        <v>77</v>
      </c>
      <c r="D15" s="268" t="s">
        <v>77</v>
      </c>
      <c r="E15" s="271" t="s">
        <v>77</v>
      </c>
      <c r="F15" s="271">
        <v>500</v>
      </c>
      <c r="G15" s="271">
        <v>2500</v>
      </c>
      <c r="H15" s="271">
        <v>2500</v>
      </c>
      <c r="I15" s="271">
        <v>2500</v>
      </c>
      <c r="J15" s="271">
        <v>1300</v>
      </c>
      <c r="K15" s="271">
        <v>1350</v>
      </c>
      <c r="L15" s="475"/>
      <c r="M15" s="456"/>
    </row>
    <row r="16" spans="1:13" ht="12" customHeight="1" x14ac:dyDescent="0.2">
      <c r="A16" s="348" t="s">
        <v>31</v>
      </c>
      <c r="B16" s="268" t="s">
        <v>77</v>
      </c>
      <c r="C16" s="268" t="s">
        <v>77</v>
      </c>
      <c r="D16" s="268" t="s">
        <v>77</v>
      </c>
      <c r="E16" s="271" t="s">
        <v>77</v>
      </c>
      <c r="F16" s="271" t="s">
        <v>77</v>
      </c>
      <c r="G16" s="271">
        <v>50</v>
      </c>
      <c r="H16" s="271">
        <v>100</v>
      </c>
      <c r="I16" s="417">
        <v>130</v>
      </c>
      <c r="J16" s="417">
        <v>90</v>
      </c>
      <c r="K16" s="417">
        <v>100</v>
      </c>
      <c r="L16" s="475"/>
    </row>
    <row r="17" spans="1:12" s="267" customFormat="1" ht="12" customHeight="1" x14ac:dyDescent="0.2">
      <c r="A17" s="350" t="s">
        <v>32</v>
      </c>
      <c r="B17" s="357" t="s">
        <v>77</v>
      </c>
      <c r="C17" s="357" t="s">
        <v>77</v>
      </c>
      <c r="D17" s="357" t="s">
        <v>77</v>
      </c>
      <c r="E17" s="357" t="s">
        <v>77</v>
      </c>
      <c r="F17" s="357" t="s">
        <v>77</v>
      </c>
      <c r="G17" s="357">
        <v>1000</v>
      </c>
      <c r="H17" s="357">
        <v>1000</v>
      </c>
      <c r="I17" s="418">
        <v>1900</v>
      </c>
      <c r="J17" s="418">
        <v>570</v>
      </c>
      <c r="K17" s="418">
        <v>560</v>
      </c>
      <c r="L17" s="478"/>
    </row>
    <row r="18" spans="1:12" ht="12" customHeight="1" x14ac:dyDescent="0.2">
      <c r="A18" s="348" t="s">
        <v>33</v>
      </c>
      <c r="B18" s="268">
        <v>2000</v>
      </c>
      <c r="C18" s="268">
        <v>3000</v>
      </c>
      <c r="D18" s="268">
        <v>3500</v>
      </c>
      <c r="E18" s="268">
        <v>1100</v>
      </c>
      <c r="F18" s="271">
        <v>600</v>
      </c>
      <c r="G18" s="271">
        <v>2500</v>
      </c>
      <c r="H18" s="271">
        <v>2800</v>
      </c>
      <c r="I18" s="417">
        <v>630</v>
      </c>
      <c r="J18" s="271">
        <v>3670</v>
      </c>
      <c r="K18" s="271">
        <v>3140</v>
      </c>
      <c r="L18" s="475"/>
    </row>
    <row r="19" spans="1:12" ht="12" customHeight="1" x14ac:dyDescent="0.2">
      <c r="A19" s="348" t="s">
        <v>34</v>
      </c>
      <c r="B19" s="268" t="s">
        <v>77</v>
      </c>
      <c r="C19" s="268" t="s">
        <v>77</v>
      </c>
      <c r="D19" s="268" t="s">
        <v>77</v>
      </c>
      <c r="E19" s="268" t="s">
        <v>77</v>
      </c>
      <c r="F19" s="271" t="s">
        <v>77</v>
      </c>
      <c r="G19" s="271">
        <v>200</v>
      </c>
      <c r="H19" s="271">
        <v>250</v>
      </c>
      <c r="I19" s="417">
        <v>900</v>
      </c>
      <c r="J19" s="417">
        <v>140</v>
      </c>
      <c r="K19" s="417">
        <v>300</v>
      </c>
      <c r="L19" s="475"/>
    </row>
    <row r="20" spans="1:12" ht="12" customHeight="1" x14ac:dyDescent="0.2">
      <c r="A20" s="434" t="s">
        <v>140</v>
      </c>
      <c r="B20" s="271" t="s">
        <v>77</v>
      </c>
      <c r="C20" s="271" t="s">
        <v>77</v>
      </c>
      <c r="D20" s="271" t="s">
        <v>77</v>
      </c>
      <c r="E20" s="271" t="s">
        <v>77</v>
      </c>
      <c r="F20" s="271" t="s">
        <v>77</v>
      </c>
      <c r="G20" s="271" t="s">
        <v>77</v>
      </c>
      <c r="H20" s="271" t="s">
        <v>77</v>
      </c>
      <c r="I20" s="271">
        <v>0</v>
      </c>
      <c r="J20" s="419">
        <v>80000</v>
      </c>
      <c r="K20" s="419">
        <v>0</v>
      </c>
      <c r="L20" s="475"/>
    </row>
    <row r="21" spans="1:12" ht="12" customHeight="1" x14ac:dyDescent="0.2">
      <c r="A21" s="348" t="s">
        <v>35</v>
      </c>
      <c r="B21" s="268">
        <v>1000</v>
      </c>
      <c r="C21" s="268">
        <v>2500</v>
      </c>
      <c r="D21" s="268">
        <v>700</v>
      </c>
      <c r="E21" s="268">
        <v>600</v>
      </c>
      <c r="F21" s="271" t="s">
        <v>77</v>
      </c>
      <c r="G21" s="271" t="s">
        <v>77</v>
      </c>
      <c r="H21" s="271">
        <v>400</v>
      </c>
      <c r="I21" s="417">
        <v>0</v>
      </c>
      <c r="J21" s="417">
        <v>150</v>
      </c>
      <c r="K21" s="417">
        <v>240</v>
      </c>
      <c r="L21" s="475"/>
    </row>
    <row r="22" spans="1:12" ht="12" customHeight="1" x14ac:dyDescent="0.2">
      <c r="A22" s="348" t="s">
        <v>36</v>
      </c>
      <c r="B22" s="268" t="s">
        <v>77</v>
      </c>
      <c r="C22" s="268" t="s">
        <v>77</v>
      </c>
      <c r="D22" s="268" t="s">
        <v>77</v>
      </c>
      <c r="E22" s="268" t="s">
        <v>77</v>
      </c>
      <c r="F22" s="271">
        <v>2200</v>
      </c>
      <c r="G22" s="271">
        <v>50</v>
      </c>
      <c r="H22" s="271">
        <v>1000</v>
      </c>
      <c r="I22" s="417">
        <v>850</v>
      </c>
      <c r="J22" s="419">
        <v>1860</v>
      </c>
      <c r="K22" s="419">
        <v>2440</v>
      </c>
      <c r="L22" s="475"/>
    </row>
    <row r="23" spans="1:12" ht="12" customHeight="1" x14ac:dyDescent="0.2">
      <c r="A23" s="348" t="s">
        <v>37</v>
      </c>
      <c r="B23" s="268" t="s">
        <v>77</v>
      </c>
      <c r="C23" s="268" t="s">
        <v>77</v>
      </c>
      <c r="D23" s="268" t="s">
        <v>77</v>
      </c>
      <c r="E23" s="268" t="s">
        <v>77</v>
      </c>
      <c r="F23" s="271" t="s">
        <v>77</v>
      </c>
      <c r="G23" s="271">
        <v>100</v>
      </c>
      <c r="H23" s="271">
        <v>600</v>
      </c>
      <c r="I23" s="417">
        <v>700</v>
      </c>
      <c r="J23" s="419">
        <v>2850</v>
      </c>
      <c r="K23" s="419">
        <v>740</v>
      </c>
      <c r="L23" s="475"/>
    </row>
    <row r="24" spans="1:12" ht="12" customHeight="1" x14ac:dyDescent="0.2">
      <c r="A24" s="348" t="s">
        <v>38</v>
      </c>
      <c r="B24" s="268" t="s">
        <v>77</v>
      </c>
      <c r="C24" s="268" t="s">
        <v>77</v>
      </c>
      <c r="D24" s="268" t="s">
        <v>77</v>
      </c>
      <c r="E24" s="268" t="s">
        <v>77</v>
      </c>
      <c r="F24" s="271" t="s">
        <v>77</v>
      </c>
      <c r="G24" s="271" t="s">
        <v>77</v>
      </c>
      <c r="H24" s="271">
        <v>1000</v>
      </c>
      <c r="I24" s="419">
        <v>2050</v>
      </c>
      <c r="J24" s="419">
        <v>800</v>
      </c>
      <c r="K24" s="419">
        <v>500</v>
      </c>
      <c r="L24" s="475"/>
    </row>
    <row r="25" spans="1:12" ht="12" customHeight="1" x14ac:dyDescent="0.2">
      <c r="A25" s="348" t="s">
        <v>39</v>
      </c>
      <c r="B25" s="268" t="s">
        <v>77</v>
      </c>
      <c r="C25" s="268" t="s">
        <v>77</v>
      </c>
      <c r="D25" s="268" t="s">
        <v>77</v>
      </c>
      <c r="E25" s="268" t="s">
        <v>77</v>
      </c>
      <c r="F25" s="271">
        <v>3000</v>
      </c>
      <c r="G25" s="271" t="s">
        <v>77</v>
      </c>
      <c r="H25" s="271">
        <v>2000</v>
      </c>
      <c r="I25" s="419">
        <v>1080</v>
      </c>
      <c r="J25" s="419">
        <v>2100</v>
      </c>
      <c r="K25" s="419">
        <v>1550</v>
      </c>
      <c r="L25" s="475"/>
    </row>
    <row r="26" spans="1:12" ht="12" customHeight="1" x14ac:dyDescent="0.2">
      <c r="A26" s="434" t="s">
        <v>160</v>
      </c>
      <c r="B26" s="268" t="s">
        <v>77</v>
      </c>
      <c r="C26" s="268" t="s">
        <v>77</v>
      </c>
      <c r="D26" s="268" t="s">
        <v>77</v>
      </c>
      <c r="E26" s="268" t="s">
        <v>77</v>
      </c>
      <c r="F26" s="271">
        <v>7000</v>
      </c>
      <c r="G26" s="271" t="s">
        <v>77</v>
      </c>
      <c r="H26" s="271">
        <v>2000</v>
      </c>
      <c r="I26" s="417" t="s">
        <v>77</v>
      </c>
      <c r="J26" s="417" t="s">
        <v>77</v>
      </c>
      <c r="K26" s="417" t="s">
        <v>77</v>
      </c>
      <c r="L26" s="475"/>
    </row>
    <row r="27" spans="1:12" ht="12" customHeight="1" x14ac:dyDescent="0.2">
      <c r="A27" s="434" t="s">
        <v>159</v>
      </c>
      <c r="B27" s="268" t="s">
        <v>77</v>
      </c>
      <c r="C27" s="268" t="s">
        <v>77</v>
      </c>
      <c r="D27" s="268" t="s">
        <v>77</v>
      </c>
      <c r="E27" s="268" t="s">
        <v>77</v>
      </c>
      <c r="F27" s="271" t="s">
        <v>77</v>
      </c>
      <c r="G27" s="271" t="s">
        <v>77</v>
      </c>
      <c r="H27" s="271">
        <v>1000</v>
      </c>
      <c r="I27" s="417" t="s">
        <v>77</v>
      </c>
      <c r="J27" s="417" t="s">
        <v>77</v>
      </c>
      <c r="K27" s="417" t="s">
        <v>77</v>
      </c>
      <c r="L27" s="475"/>
    </row>
    <row r="28" spans="1:12" ht="12" customHeight="1" x14ac:dyDescent="0.2">
      <c r="A28" s="434" t="s">
        <v>42</v>
      </c>
      <c r="B28" s="268" t="s">
        <v>77</v>
      </c>
      <c r="C28" s="268" t="s">
        <v>77</v>
      </c>
      <c r="D28" s="268" t="s">
        <v>77</v>
      </c>
      <c r="E28" s="268" t="s">
        <v>77</v>
      </c>
      <c r="F28" s="271" t="s">
        <v>77</v>
      </c>
      <c r="G28" s="271" t="s">
        <v>77</v>
      </c>
      <c r="H28" s="271">
        <v>3000</v>
      </c>
      <c r="I28" s="417">
        <v>500</v>
      </c>
      <c r="J28" s="419">
        <v>1630</v>
      </c>
      <c r="K28" s="417">
        <v>910</v>
      </c>
      <c r="L28" s="475"/>
    </row>
    <row r="29" spans="1:12" ht="12" customHeight="1" x14ac:dyDescent="0.2">
      <c r="A29" s="348" t="s">
        <v>43</v>
      </c>
      <c r="B29" s="268" t="s">
        <v>77</v>
      </c>
      <c r="C29" s="268" t="s">
        <v>77</v>
      </c>
      <c r="D29" s="268">
        <v>1000</v>
      </c>
      <c r="E29" s="268" t="s">
        <v>77</v>
      </c>
      <c r="F29" s="271">
        <v>1000</v>
      </c>
      <c r="G29" s="271">
        <v>1000</v>
      </c>
      <c r="H29" s="271">
        <v>3000</v>
      </c>
      <c r="I29" s="419">
        <v>1050</v>
      </c>
      <c r="J29" s="419">
        <v>3410</v>
      </c>
      <c r="K29" s="419">
        <v>1980</v>
      </c>
      <c r="L29" s="475"/>
    </row>
    <row r="30" spans="1:12" s="129" customFormat="1" ht="12" customHeight="1" x14ac:dyDescent="0.2">
      <c r="A30" s="351" t="s">
        <v>137</v>
      </c>
      <c r="B30" s="358" t="s">
        <v>77</v>
      </c>
      <c r="C30" s="358" t="s">
        <v>77</v>
      </c>
      <c r="D30" s="358" t="s">
        <v>77</v>
      </c>
      <c r="E30" s="358" t="s">
        <v>77</v>
      </c>
      <c r="F30" s="337">
        <v>2000</v>
      </c>
      <c r="G30" s="337" t="s">
        <v>77</v>
      </c>
      <c r="H30" s="271" t="s">
        <v>77</v>
      </c>
      <c r="I30" s="420" t="s">
        <v>77</v>
      </c>
      <c r="J30" s="420">
        <v>530</v>
      </c>
      <c r="K30" s="420">
        <v>170</v>
      </c>
      <c r="L30" s="477"/>
    </row>
    <row r="31" spans="1:12" ht="12" customHeight="1" thickBot="1" x14ac:dyDescent="0.25">
      <c r="A31" s="131"/>
      <c r="B31" s="131"/>
      <c r="C31" s="131"/>
      <c r="D31" s="131"/>
      <c r="E31" s="131"/>
      <c r="F31" s="131"/>
      <c r="G31" s="131"/>
      <c r="H31" s="132"/>
      <c r="I31" s="132"/>
      <c r="J31" s="132"/>
      <c r="K31" s="132"/>
    </row>
    <row r="32" spans="1:12" ht="13.5" customHeight="1" x14ac:dyDescent="0.2">
      <c r="A32" s="293" t="s">
        <v>173</v>
      </c>
    </row>
    <row r="33" spans="1:11" ht="12" customHeight="1" x14ac:dyDescent="0.2">
      <c r="A33" s="137" t="s">
        <v>84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</row>
    <row r="35" spans="1:11" x14ac:dyDescent="0.2">
      <c r="A35" s="463"/>
    </row>
  </sheetData>
  <mergeCells count="3">
    <mergeCell ref="A1:K1"/>
    <mergeCell ref="A3:K3"/>
    <mergeCell ref="A14:K14"/>
  </mergeCells>
  <printOptions horizontalCentered="1"/>
  <pageMargins left="0.5" right="0.5" top="0.5" bottom="0.5" header="0.3" footer="0.3"/>
  <pageSetup scale="9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2A6F1F"/>
  </sheetPr>
  <dimension ref="A1:W399"/>
  <sheetViews>
    <sheetView view="pageBreakPreview" zoomScale="130" zoomScaleNormal="90" zoomScaleSheetLayoutView="130" workbookViewId="0">
      <selection sqref="A1:I1"/>
    </sheetView>
  </sheetViews>
  <sheetFormatPr defaultColWidth="9.140625" defaultRowHeight="11.45" customHeight="1" x14ac:dyDescent="0.2"/>
  <cols>
    <col min="1" max="1" width="15.28515625" style="48" customWidth="1"/>
    <col min="2" max="2" width="6.7109375" style="73" customWidth="1"/>
    <col min="3" max="3" width="13.140625" style="1" customWidth="1"/>
    <col min="4" max="9" width="10.140625" style="1" customWidth="1"/>
    <col min="10" max="10" width="15.28515625" style="48" customWidth="1"/>
    <col min="11" max="11" width="6.7109375" style="73" customWidth="1"/>
    <col min="12" max="19" width="10.140625" style="1" customWidth="1"/>
    <col min="20" max="20" width="17.140625" style="1" customWidth="1"/>
    <col min="21" max="16384" width="9.140625" style="1"/>
  </cols>
  <sheetData>
    <row r="1" spans="1:20" ht="16.5" customHeight="1" x14ac:dyDescent="0.2">
      <c r="A1" s="586" t="s">
        <v>181</v>
      </c>
      <c r="B1" s="586"/>
      <c r="C1" s="586"/>
      <c r="D1" s="586"/>
      <c r="E1" s="586"/>
      <c r="F1" s="586"/>
      <c r="G1" s="586"/>
      <c r="H1" s="586"/>
      <c r="I1" s="586"/>
      <c r="J1" s="578" t="s">
        <v>181</v>
      </c>
      <c r="K1" s="578"/>
      <c r="L1" s="578"/>
      <c r="M1" s="578"/>
      <c r="N1" s="578"/>
      <c r="O1" s="578"/>
      <c r="P1" s="578"/>
      <c r="Q1" s="578"/>
      <c r="R1" s="578"/>
      <c r="S1" s="578"/>
    </row>
    <row r="2" spans="1:20" ht="11.45" customHeight="1" x14ac:dyDescent="0.2">
      <c r="A2" s="582" t="s">
        <v>116</v>
      </c>
      <c r="B2" s="584" t="s">
        <v>1</v>
      </c>
      <c r="C2" s="584" t="s">
        <v>117</v>
      </c>
      <c r="D2" s="584" t="s">
        <v>113</v>
      </c>
      <c r="E2" s="584"/>
      <c r="F2" s="584" t="s">
        <v>26</v>
      </c>
      <c r="G2" s="584"/>
      <c r="H2" s="584"/>
      <c r="I2" s="584"/>
      <c r="J2" s="582" t="s">
        <v>116</v>
      </c>
      <c r="K2" s="584" t="s">
        <v>1</v>
      </c>
      <c r="L2" s="585" t="s">
        <v>26</v>
      </c>
      <c r="M2" s="585"/>
      <c r="N2" s="585"/>
      <c r="O2" s="585"/>
      <c r="P2" s="585"/>
      <c r="Q2" s="585"/>
      <c r="R2" s="585"/>
      <c r="S2" s="585"/>
    </row>
    <row r="3" spans="1:20" ht="11.45" customHeight="1" x14ac:dyDescent="0.2">
      <c r="A3" s="582"/>
      <c r="B3" s="584"/>
      <c r="C3" s="584"/>
      <c r="D3" s="584"/>
      <c r="E3" s="584"/>
      <c r="F3" s="585" t="s">
        <v>118</v>
      </c>
      <c r="G3" s="585"/>
      <c r="H3" s="585" t="s">
        <v>119</v>
      </c>
      <c r="I3" s="585"/>
      <c r="J3" s="582"/>
      <c r="K3" s="584"/>
      <c r="L3" s="585" t="s">
        <v>120</v>
      </c>
      <c r="M3" s="585"/>
      <c r="N3" s="585" t="s">
        <v>121</v>
      </c>
      <c r="O3" s="585"/>
      <c r="P3" s="585" t="s">
        <v>122</v>
      </c>
      <c r="Q3" s="585"/>
      <c r="R3" s="585" t="s">
        <v>123</v>
      </c>
      <c r="S3" s="585"/>
    </row>
    <row r="4" spans="1:20" ht="11.45" customHeight="1" x14ac:dyDescent="0.2">
      <c r="A4" s="582"/>
      <c r="B4" s="584"/>
      <c r="C4" s="388"/>
      <c r="D4" s="389" t="s">
        <v>114</v>
      </c>
      <c r="E4" s="389" t="s">
        <v>124</v>
      </c>
      <c r="F4" s="389" t="s">
        <v>114</v>
      </c>
      <c r="G4" s="389" t="s">
        <v>124</v>
      </c>
      <c r="H4" s="389" t="s">
        <v>114</v>
      </c>
      <c r="I4" s="389" t="s">
        <v>124</v>
      </c>
      <c r="J4" s="582"/>
      <c r="K4" s="584"/>
      <c r="L4" s="389" t="s">
        <v>114</v>
      </c>
      <c r="M4" s="389" t="s">
        <v>124</v>
      </c>
      <c r="N4" s="389" t="s">
        <v>114</v>
      </c>
      <c r="O4" s="389" t="s">
        <v>124</v>
      </c>
      <c r="P4" s="389" t="s">
        <v>114</v>
      </c>
      <c r="Q4" s="389" t="s">
        <v>124</v>
      </c>
      <c r="R4" s="389" t="s">
        <v>114</v>
      </c>
      <c r="S4" s="389" t="s">
        <v>124</v>
      </c>
      <c r="T4" s="4"/>
    </row>
    <row r="5" spans="1:20" ht="11.45" customHeight="1" x14ac:dyDescent="0.2">
      <c r="A5" s="583"/>
      <c r="B5" s="572"/>
      <c r="C5" s="390" t="s">
        <v>29</v>
      </c>
      <c r="D5" s="390" t="s">
        <v>29</v>
      </c>
      <c r="E5" s="391" t="s">
        <v>3</v>
      </c>
      <c r="F5" s="390" t="s">
        <v>29</v>
      </c>
      <c r="G5" s="391" t="s">
        <v>3</v>
      </c>
      <c r="H5" s="390" t="s">
        <v>29</v>
      </c>
      <c r="I5" s="391" t="s">
        <v>3</v>
      </c>
      <c r="J5" s="583"/>
      <c r="K5" s="572"/>
      <c r="L5" s="390" t="s">
        <v>29</v>
      </c>
      <c r="M5" s="391" t="s">
        <v>3</v>
      </c>
      <c r="N5" s="390" t="s">
        <v>29</v>
      </c>
      <c r="O5" s="391" t="s">
        <v>3</v>
      </c>
      <c r="P5" s="390" t="s">
        <v>29</v>
      </c>
      <c r="Q5" s="391" t="s">
        <v>3</v>
      </c>
      <c r="R5" s="390" t="s">
        <v>29</v>
      </c>
      <c r="S5" s="391" t="s">
        <v>3</v>
      </c>
    </row>
    <row r="6" spans="1:20" ht="3.75" customHeight="1" x14ac:dyDescent="0.2">
      <c r="A6" s="371"/>
      <c r="B6" s="52"/>
      <c r="C6" s="56"/>
      <c r="D6" s="54"/>
      <c r="E6" s="57"/>
      <c r="F6" s="54"/>
      <c r="G6" s="57"/>
      <c r="H6" s="53"/>
      <c r="I6" s="57"/>
      <c r="K6" s="52"/>
      <c r="L6" s="53"/>
      <c r="M6" s="77"/>
      <c r="N6" s="53"/>
      <c r="O6" s="53"/>
      <c r="P6" s="53"/>
      <c r="Q6" s="53"/>
      <c r="R6" s="53"/>
      <c r="S6" s="53"/>
    </row>
    <row r="7" spans="1:20" ht="12" customHeight="1" x14ac:dyDescent="0.2">
      <c r="A7" s="371" t="s">
        <v>30</v>
      </c>
      <c r="B7" s="52">
        <v>2011</v>
      </c>
      <c r="C7" s="56">
        <v>135000</v>
      </c>
      <c r="D7" s="54">
        <v>62500</v>
      </c>
      <c r="E7" s="57">
        <v>650</v>
      </c>
      <c r="F7" s="54">
        <v>72500</v>
      </c>
      <c r="G7" s="57">
        <v>239</v>
      </c>
      <c r="H7" s="53" t="s">
        <v>77</v>
      </c>
      <c r="I7" s="57" t="s">
        <v>77</v>
      </c>
      <c r="J7" s="371" t="s">
        <v>30</v>
      </c>
      <c r="K7" s="52">
        <v>2011</v>
      </c>
      <c r="L7" s="53" t="s">
        <v>77</v>
      </c>
      <c r="M7" s="77" t="s">
        <v>77</v>
      </c>
      <c r="N7" s="53" t="s">
        <v>77</v>
      </c>
      <c r="O7" s="53" t="s">
        <v>77</v>
      </c>
      <c r="P7" s="53" t="s">
        <v>77</v>
      </c>
      <c r="Q7" s="53" t="s">
        <v>77</v>
      </c>
      <c r="R7" s="53" t="s">
        <v>77</v>
      </c>
      <c r="S7" s="53" t="s">
        <v>77</v>
      </c>
    </row>
    <row r="8" spans="1:20" ht="12" customHeight="1" x14ac:dyDescent="0.2">
      <c r="A8" s="371"/>
      <c r="B8" s="52">
        <v>2012</v>
      </c>
      <c r="C8" s="58">
        <v>135000</v>
      </c>
      <c r="D8" s="54" t="s">
        <v>77</v>
      </c>
      <c r="E8" s="57" t="s">
        <v>77</v>
      </c>
      <c r="F8" s="54" t="s">
        <v>77</v>
      </c>
      <c r="G8" s="57" t="s">
        <v>77</v>
      </c>
      <c r="H8" s="53" t="s">
        <v>77</v>
      </c>
      <c r="I8" s="57" t="s">
        <v>77</v>
      </c>
      <c r="J8" s="371"/>
      <c r="K8" s="52">
        <v>2012</v>
      </c>
      <c r="L8" s="53" t="s">
        <v>77</v>
      </c>
      <c r="M8" s="77" t="s">
        <v>77</v>
      </c>
      <c r="N8" s="53" t="s">
        <v>77</v>
      </c>
      <c r="O8" s="53" t="s">
        <v>77</v>
      </c>
      <c r="P8" s="53" t="s">
        <v>77</v>
      </c>
      <c r="Q8" s="53" t="s">
        <v>77</v>
      </c>
      <c r="R8" s="53" t="s">
        <v>77</v>
      </c>
      <c r="S8" s="53" t="s">
        <v>77</v>
      </c>
    </row>
    <row r="9" spans="1:20" ht="12" customHeight="1" x14ac:dyDescent="0.2">
      <c r="A9" s="371"/>
      <c r="B9" s="52">
        <v>2013</v>
      </c>
      <c r="C9" s="58">
        <v>135000</v>
      </c>
      <c r="D9" s="54" t="s">
        <v>77</v>
      </c>
      <c r="E9" s="54" t="s">
        <v>77</v>
      </c>
      <c r="F9" s="54" t="s">
        <v>77</v>
      </c>
      <c r="G9" s="54" t="s">
        <v>77</v>
      </c>
      <c r="H9" s="53" t="s">
        <v>77</v>
      </c>
      <c r="I9" s="57" t="s">
        <v>77</v>
      </c>
      <c r="J9" s="371"/>
      <c r="K9" s="52">
        <v>2013</v>
      </c>
      <c r="L9" s="53" t="s">
        <v>77</v>
      </c>
      <c r="M9" s="77" t="s">
        <v>77</v>
      </c>
      <c r="N9" s="53" t="s">
        <v>77</v>
      </c>
      <c r="O9" s="53" t="s">
        <v>77</v>
      </c>
      <c r="P9" s="53" t="s">
        <v>77</v>
      </c>
      <c r="Q9" s="53" t="s">
        <v>77</v>
      </c>
      <c r="R9" s="53" t="s">
        <v>77</v>
      </c>
      <c r="S9" s="53" t="s">
        <v>77</v>
      </c>
    </row>
    <row r="10" spans="1:20" ht="12" customHeight="1" x14ac:dyDescent="0.2">
      <c r="A10" s="372"/>
      <c r="B10" s="52">
        <v>2014</v>
      </c>
      <c r="C10" s="58">
        <v>120000</v>
      </c>
      <c r="D10" s="53" t="s">
        <v>77</v>
      </c>
      <c r="E10" s="57" t="s">
        <v>77</v>
      </c>
      <c r="F10" s="53" t="s">
        <v>77</v>
      </c>
      <c r="G10" s="57" t="s">
        <v>77</v>
      </c>
      <c r="H10" s="53" t="s">
        <v>77</v>
      </c>
      <c r="I10" s="359" t="s">
        <v>77</v>
      </c>
      <c r="J10" s="371"/>
      <c r="K10" s="52">
        <v>2014</v>
      </c>
      <c r="L10" s="53" t="s">
        <v>77</v>
      </c>
      <c r="M10" s="77" t="s">
        <v>77</v>
      </c>
      <c r="N10" s="53" t="s">
        <v>77</v>
      </c>
      <c r="O10" s="53" t="s">
        <v>77</v>
      </c>
      <c r="P10" s="53" t="s">
        <v>77</v>
      </c>
      <c r="Q10" s="53" t="s">
        <v>77</v>
      </c>
      <c r="R10" s="53" t="s">
        <v>77</v>
      </c>
      <c r="S10" s="53" t="s">
        <v>77</v>
      </c>
    </row>
    <row r="11" spans="1:20" ht="12" customHeight="1" x14ac:dyDescent="0.2">
      <c r="A11" s="373"/>
      <c r="B11" s="92">
        <v>2015</v>
      </c>
      <c r="C11" s="219">
        <v>100000</v>
      </c>
      <c r="D11" s="212" t="s">
        <v>77</v>
      </c>
      <c r="E11" s="221" t="s">
        <v>77</v>
      </c>
      <c r="F11" s="212" t="s">
        <v>77</v>
      </c>
      <c r="G11" s="221" t="s">
        <v>77</v>
      </c>
      <c r="H11" s="212" t="s">
        <v>77</v>
      </c>
      <c r="I11" s="221" t="s">
        <v>77</v>
      </c>
      <c r="J11" s="371"/>
      <c r="K11" s="92">
        <v>2015</v>
      </c>
      <c r="L11" s="53" t="s">
        <v>77</v>
      </c>
      <c r="M11" s="77" t="s">
        <v>77</v>
      </c>
      <c r="N11" s="53" t="s">
        <v>77</v>
      </c>
      <c r="O11" s="53" t="s">
        <v>77</v>
      </c>
      <c r="P11" s="53" t="s">
        <v>77</v>
      </c>
      <c r="Q11" s="53" t="s">
        <v>77</v>
      </c>
      <c r="R11" s="53" t="s">
        <v>77</v>
      </c>
      <c r="S11" s="53" t="s">
        <v>77</v>
      </c>
    </row>
    <row r="12" spans="1:20" ht="12" customHeight="1" x14ac:dyDescent="0.2">
      <c r="A12" s="373"/>
      <c r="B12" s="92">
        <v>2016</v>
      </c>
      <c r="C12" s="219">
        <v>125000</v>
      </c>
      <c r="D12" s="212" t="s">
        <v>77</v>
      </c>
      <c r="E12" s="221" t="s">
        <v>77</v>
      </c>
      <c r="F12" s="212" t="s">
        <v>77</v>
      </c>
      <c r="G12" s="221" t="s">
        <v>77</v>
      </c>
      <c r="H12" s="212" t="s">
        <v>77</v>
      </c>
      <c r="I12" s="221" t="s">
        <v>77</v>
      </c>
      <c r="J12" s="501"/>
      <c r="K12" s="92">
        <v>2016</v>
      </c>
      <c r="L12" s="212" t="s">
        <v>77</v>
      </c>
      <c r="M12" s="222" t="s">
        <v>77</v>
      </c>
      <c r="N12" s="212" t="s">
        <v>77</v>
      </c>
      <c r="O12" s="212" t="s">
        <v>77</v>
      </c>
      <c r="P12" s="212" t="s">
        <v>77</v>
      </c>
      <c r="Q12" s="212" t="s">
        <v>77</v>
      </c>
      <c r="R12" s="212" t="s">
        <v>77</v>
      </c>
      <c r="S12" s="212" t="s">
        <v>77</v>
      </c>
    </row>
    <row r="13" spans="1:20" ht="12" customHeight="1" x14ac:dyDescent="0.2">
      <c r="A13" s="373"/>
      <c r="B13" s="92">
        <v>2017</v>
      </c>
      <c r="C13" s="219">
        <v>112500</v>
      </c>
      <c r="D13" s="212" t="s">
        <v>77</v>
      </c>
      <c r="E13" s="221" t="s">
        <v>77</v>
      </c>
      <c r="F13" s="212" t="s">
        <v>77</v>
      </c>
      <c r="G13" s="221" t="s">
        <v>77</v>
      </c>
      <c r="H13" s="212" t="s">
        <v>77</v>
      </c>
      <c r="I13" s="221" t="s">
        <v>77</v>
      </c>
      <c r="J13" s="501"/>
      <c r="K13" s="92">
        <v>2017</v>
      </c>
      <c r="L13" s="212" t="s">
        <v>77</v>
      </c>
      <c r="M13" s="222" t="s">
        <v>77</v>
      </c>
      <c r="N13" s="212" t="s">
        <v>77</v>
      </c>
      <c r="O13" s="212" t="s">
        <v>77</v>
      </c>
      <c r="P13" s="212" t="s">
        <v>77</v>
      </c>
      <c r="Q13" s="212" t="s">
        <v>77</v>
      </c>
      <c r="R13" s="212" t="s">
        <v>77</v>
      </c>
      <c r="S13" s="212" t="s">
        <v>77</v>
      </c>
    </row>
    <row r="14" spans="1:20" ht="12" customHeight="1" x14ac:dyDescent="0.2">
      <c r="A14" s="373"/>
      <c r="B14" s="52">
        <v>2018</v>
      </c>
      <c r="C14" s="223">
        <v>121500</v>
      </c>
      <c r="D14" s="217" t="s">
        <v>77</v>
      </c>
      <c r="E14" s="217" t="s">
        <v>77</v>
      </c>
      <c r="F14" s="217" t="s">
        <v>77</v>
      </c>
      <c r="G14" s="217" t="s">
        <v>77</v>
      </c>
      <c r="H14" s="54" t="s">
        <v>77</v>
      </c>
      <c r="I14" s="54" t="s">
        <v>77</v>
      </c>
      <c r="J14" s="501"/>
      <c r="K14" s="484">
        <v>2018</v>
      </c>
      <c r="L14" s="212" t="s">
        <v>77</v>
      </c>
      <c r="M14" s="222" t="s">
        <v>77</v>
      </c>
      <c r="N14" s="212" t="s">
        <v>77</v>
      </c>
      <c r="O14" s="212" t="s">
        <v>77</v>
      </c>
      <c r="P14" s="212" t="s">
        <v>77</v>
      </c>
      <c r="Q14" s="212" t="s">
        <v>77</v>
      </c>
      <c r="R14" s="212" t="s">
        <v>77</v>
      </c>
      <c r="S14" s="212" t="s">
        <v>77</v>
      </c>
    </row>
    <row r="15" spans="1:20" ht="12" customHeight="1" x14ac:dyDescent="0.2">
      <c r="A15" s="485"/>
      <c r="B15" s="52">
        <v>2019</v>
      </c>
      <c r="C15" s="223">
        <v>128200</v>
      </c>
      <c r="D15" s="217">
        <v>30050</v>
      </c>
      <c r="E15" s="221">
        <v>800</v>
      </c>
      <c r="F15" s="217">
        <v>98150</v>
      </c>
      <c r="G15" s="221">
        <v>345</v>
      </c>
      <c r="H15" s="54" t="s">
        <v>77</v>
      </c>
      <c r="I15" s="54" t="s">
        <v>77</v>
      </c>
      <c r="J15" s="485"/>
      <c r="K15" s="484">
        <v>2019</v>
      </c>
      <c r="L15" s="212" t="s">
        <v>77</v>
      </c>
      <c r="M15" s="212" t="s">
        <v>77</v>
      </c>
      <c r="N15" s="212" t="s">
        <v>77</v>
      </c>
      <c r="O15" s="212" t="s">
        <v>77</v>
      </c>
      <c r="P15" s="212" t="s">
        <v>77</v>
      </c>
      <c r="Q15" s="212" t="s">
        <v>77</v>
      </c>
      <c r="R15" s="212" t="s">
        <v>77</v>
      </c>
      <c r="S15" s="212" t="s">
        <v>77</v>
      </c>
    </row>
    <row r="16" spans="1:20" ht="12" customHeight="1" x14ac:dyDescent="0.2">
      <c r="A16" s="485"/>
      <c r="B16" s="52">
        <v>2020</v>
      </c>
      <c r="C16" s="223">
        <v>134150</v>
      </c>
      <c r="D16" s="217">
        <v>47450</v>
      </c>
      <c r="E16" s="221">
        <v>1040</v>
      </c>
      <c r="F16" s="217">
        <v>86700</v>
      </c>
      <c r="G16" s="221">
        <v>330</v>
      </c>
      <c r="H16" s="54" t="s">
        <v>77</v>
      </c>
      <c r="I16" s="54" t="s">
        <v>77</v>
      </c>
      <c r="J16" s="485"/>
      <c r="K16" s="484">
        <v>2020</v>
      </c>
      <c r="L16" s="212" t="s">
        <v>77</v>
      </c>
      <c r="M16" s="212" t="s">
        <v>77</v>
      </c>
      <c r="N16" s="212" t="s">
        <v>77</v>
      </c>
      <c r="O16" s="212" t="s">
        <v>77</v>
      </c>
      <c r="P16" s="212" t="s">
        <v>77</v>
      </c>
      <c r="Q16" s="212" t="s">
        <v>77</v>
      </c>
      <c r="R16" s="212" t="s">
        <v>77</v>
      </c>
      <c r="S16" s="212" t="s">
        <v>77</v>
      </c>
      <c r="T16" s="469"/>
    </row>
    <row r="17" spans="1:21" ht="12" customHeight="1" x14ac:dyDescent="0.2">
      <c r="A17" s="485"/>
      <c r="B17" s="52"/>
      <c r="C17" s="223"/>
      <c r="D17" s="54"/>
      <c r="E17" s="54"/>
      <c r="F17" s="54"/>
      <c r="G17" s="54"/>
      <c r="H17" s="54"/>
      <c r="I17" s="54"/>
      <c r="J17" s="485"/>
      <c r="K17" s="484"/>
      <c r="L17" s="212"/>
      <c r="M17" s="212"/>
      <c r="N17" s="212"/>
      <c r="O17" s="212"/>
      <c r="P17" s="212"/>
      <c r="Q17" s="212"/>
      <c r="R17" s="212"/>
      <c r="S17" s="212"/>
    </row>
    <row r="18" spans="1:21" ht="12" customHeight="1" x14ac:dyDescent="0.2">
      <c r="A18" s="371" t="s">
        <v>31</v>
      </c>
      <c r="B18" s="52">
        <v>2011</v>
      </c>
      <c r="C18" s="58">
        <v>62550</v>
      </c>
      <c r="D18" s="54">
        <v>20500</v>
      </c>
      <c r="E18" s="57">
        <v>875</v>
      </c>
      <c r="F18" s="54">
        <v>42050</v>
      </c>
      <c r="G18" s="57">
        <v>375</v>
      </c>
      <c r="H18" s="54">
        <v>17150</v>
      </c>
      <c r="I18" s="57">
        <v>330</v>
      </c>
      <c r="J18" s="371" t="s">
        <v>31</v>
      </c>
      <c r="K18" s="52">
        <v>2011</v>
      </c>
      <c r="L18" s="53" t="s">
        <v>77</v>
      </c>
      <c r="M18" s="77" t="s">
        <v>77</v>
      </c>
      <c r="N18" s="53" t="s">
        <v>77</v>
      </c>
      <c r="O18" s="53" t="s">
        <v>77</v>
      </c>
      <c r="P18" s="54">
        <v>12000</v>
      </c>
      <c r="Q18" s="77">
        <v>410</v>
      </c>
      <c r="R18" s="54">
        <v>1810</v>
      </c>
      <c r="S18" s="57">
        <v>2720</v>
      </c>
    </row>
    <row r="19" spans="1:21" ht="12" customHeight="1" x14ac:dyDescent="0.2">
      <c r="A19" s="371"/>
      <c r="B19" s="52">
        <v>2012</v>
      </c>
      <c r="C19" s="56">
        <v>53800</v>
      </c>
      <c r="D19" s="54">
        <v>17000</v>
      </c>
      <c r="E19" s="57">
        <v>1050</v>
      </c>
      <c r="F19" s="54">
        <v>36800</v>
      </c>
      <c r="G19" s="57">
        <v>392</v>
      </c>
      <c r="H19" s="54">
        <v>16500</v>
      </c>
      <c r="I19" s="57">
        <v>419</v>
      </c>
      <c r="J19" s="371"/>
      <c r="K19" s="52">
        <v>2012</v>
      </c>
      <c r="L19" s="53" t="s">
        <v>77</v>
      </c>
      <c r="M19" s="77" t="s">
        <v>77</v>
      </c>
      <c r="N19" s="53" t="s">
        <v>77</v>
      </c>
      <c r="O19" s="53" t="s">
        <v>77</v>
      </c>
      <c r="P19" s="54">
        <v>9500</v>
      </c>
      <c r="Q19" s="77">
        <v>315</v>
      </c>
      <c r="R19" s="54">
        <v>1210</v>
      </c>
      <c r="S19" s="57">
        <v>2470</v>
      </c>
    </row>
    <row r="20" spans="1:21" ht="12" customHeight="1" x14ac:dyDescent="0.2">
      <c r="A20" s="371"/>
      <c r="B20" s="52">
        <v>2013</v>
      </c>
      <c r="C20" s="56">
        <v>54400</v>
      </c>
      <c r="D20" s="54">
        <v>20000</v>
      </c>
      <c r="E20" s="57">
        <v>1120</v>
      </c>
      <c r="F20" s="54">
        <v>34400</v>
      </c>
      <c r="G20" s="57">
        <v>427</v>
      </c>
      <c r="H20" s="54">
        <v>14550</v>
      </c>
      <c r="I20" s="57">
        <v>460</v>
      </c>
      <c r="J20" s="371"/>
      <c r="K20" s="52">
        <v>2013</v>
      </c>
      <c r="L20" s="53" t="s">
        <v>77</v>
      </c>
      <c r="M20" s="77" t="s">
        <v>77</v>
      </c>
      <c r="N20" s="53" t="s">
        <v>77</v>
      </c>
      <c r="O20" s="53" t="s">
        <v>77</v>
      </c>
      <c r="P20" s="54">
        <v>10000</v>
      </c>
      <c r="Q20" s="77">
        <v>322</v>
      </c>
      <c r="R20" s="54">
        <v>1080</v>
      </c>
      <c r="S20" s="57">
        <v>2980</v>
      </c>
    </row>
    <row r="21" spans="1:21" ht="12" customHeight="1" x14ac:dyDescent="0.2">
      <c r="A21" s="371"/>
      <c r="B21" s="52">
        <v>2014</v>
      </c>
      <c r="C21" s="56">
        <v>55400</v>
      </c>
      <c r="D21" s="54">
        <v>18000</v>
      </c>
      <c r="E21" s="57">
        <v>1400</v>
      </c>
      <c r="F21" s="54">
        <v>37400</v>
      </c>
      <c r="G21" s="57">
        <v>477</v>
      </c>
      <c r="H21" s="54">
        <v>17550</v>
      </c>
      <c r="I21" s="57">
        <v>510</v>
      </c>
      <c r="J21" s="371"/>
      <c r="K21" s="52">
        <v>2014</v>
      </c>
      <c r="L21" s="53" t="s">
        <v>77</v>
      </c>
      <c r="M21" s="77" t="s">
        <v>77</v>
      </c>
      <c r="N21" s="53" t="s">
        <v>77</v>
      </c>
      <c r="O21" s="53" t="s">
        <v>77</v>
      </c>
      <c r="P21" s="54">
        <v>9500</v>
      </c>
      <c r="Q21" s="77">
        <v>381</v>
      </c>
      <c r="R21" s="54">
        <v>1500</v>
      </c>
      <c r="S21" s="57">
        <v>2410</v>
      </c>
    </row>
    <row r="22" spans="1:21" ht="12" customHeight="1" x14ac:dyDescent="0.2">
      <c r="A22" s="371"/>
      <c r="B22" s="92">
        <v>2015</v>
      </c>
      <c r="C22" s="223">
        <v>38500</v>
      </c>
      <c r="D22" s="217">
        <v>14000</v>
      </c>
      <c r="E22" s="221">
        <v>1720</v>
      </c>
      <c r="F22" s="217">
        <v>24500</v>
      </c>
      <c r="G22" s="221">
        <v>624</v>
      </c>
      <c r="H22" s="217">
        <v>9000</v>
      </c>
      <c r="I22" s="221">
        <v>720</v>
      </c>
      <c r="J22" s="371"/>
      <c r="K22" s="92">
        <v>2015</v>
      </c>
      <c r="L22" s="212" t="s">
        <v>77</v>
      </c>
      <c r="M22" s="222" t="s">
        <v>77</v>
      </c>
      <c r="N22" s="212" t="s">
        <v>77</v>
      </c>
      <c r="O22" s="212" t="s">
        <v>77</v>
      </c>
      <c r="P22" s="217">
        <v>9000</v>
      </c>
      <c r="Q22" s="222">
        <v>466</v>
      </c>
      <c r="R22" s="217">
        <v>1050</v>
      </c>
      <c r="S22" s="221">
        <v>3990</v>
      </c>
    </row>
    <row r="23" spans="1:21" ht="12" customHeight="1" x14ac:dyDescent="0.2">
      <c r="A23" s="371"/>
      <c r="B23" s="92">
        <v>2016</v>
      </c>
      <c r="C23" s="223">
        <v>55950</v>
      </c>
      <c r="D23" s="217">
        <v>22000</v>
      </c>
      <c r="E23" s="221">
        <v>1200</v>
      </c>
      <c r="F23" s="217">
        <v>33950</v>
      </c>
      <c r="G23" s="221">
        <v>664</v>
      </c>
      <c r="H23" s="217">
        <v>13350</v>
      </c>
      <c r="I23" s="221">
        <v>610</v>
      </c>
      <c r="J23" s="371"/>
      <c r="K23" s="92">
        <v>2016</v>
      </c>
      <c r="L23" s="212" t="s">
        <v>77</v>
      </c>
      <c r="M23" s="222" t="s">
        <v>77</v>
      </c>
      <c r="N23" s="212" t="s">
        <v>77</v>
      </c>
      <c r="O23" s="212" t="s">
        <v>77</v>
      </c>
      <c r="P23" s="217">
        <v>11000</v>
      </c>
      <c r="Q23" s="222">
        <v>718</v>
      </c>
      <c r="R23" s="217">
        <v>1280</v>
      </c>
      <c r="S23" s="221">
        <v>6170</v>
      </c>
    </row>
    <row r="24" spans="1:21" ht="12" customHeight="1" x14ac:dyDescent="0.2">
      <c r="A24" s="371"/>
      <c r="B24" s="92">
        <v>2017</v>
      </c>
      <c r="C24" s="223">
        <v>36900</v>
      </c>
      <c r="D24" s="212" t="s">
        <v>82</v>
      </c>
      <c r="E24" s="212" t="s">
        <v>82</v>
      </c>
      <c r="F24" s="212" t="s">
        <v>82</v>
      </c>
      <c r="G24" s="212" t="s">
        <v>82</v>
      </c>
      <c r="H24" s="217">
        <v>8400</v>
      </c>
      <c r="I24" s="221">
        <v>615</v>
      </c>
      <c r="J24" s="371"/>
      <c r="K24" s="92">
        <v>2017</v>
      </c>
      <c r="L24" s="212" t="s">
        <v>77</v>
      </c>
      <c r="M24" s="222" t="s">
        <v>77</v>
      </c>
      <c r="N24" s="212" t="s">
        <v>77</v>
      </c>
      <c r="O24" s="212" t="s">
        <v>77</v>
      </c>
      <c r="P24" s="217" t="s">
        <v>82</v>
      </c>
      <c r="Q24" s="222" t="s">
        <v>82</v>
      </c>
      <c r="R24" s="217" t="s">
        <v>82</v>
      </c>
      <c r="S24" s="221" t="s">
        <v>82</v>
      </c>
    </row>
    <row r="25" spans="1:21" ht="12" customHeight="1" x14ac:dyDescent="0.2">
      <c r="A25" s="371"/>
      <c r="B25" s="52">
        <v>2018</v>
      </c>
      <c r="C25" s="223">
        <v>31570</v>
      </c>
      <c r="D25" s="212" t="s">
        <v>82</v>
      </c>
      <c r="E25" s="212" t="s">
        <v>82</v>
      </c>
      <c r="F25" s="212" t="s">
        <v>82</v>
      </c>
      <c r="G25" s="212" t="s">
        <v>82</v>
      </c>
      <c r="H25" s="217" t="s">
        <v>77</v>
      </c>
      <c r="I25" s="221" t="s">
        <v>77</v>
      </c>
      <c r="J25" s="371"/>
      <c r="K25" s="90">
        <v>2018</v>
      </c>
      <c r="L25" s="53" t="s">
        <v>77</v>
      </c>
      <c r="M25" s="77" t="s">
        <v>77</v>
      </c>
      <c r="N25" s="53" t="s">
        <v>77</v>
      </c>
      <c r="O25" s="53" t="s">
        <v>77</v>
      </c>
      <c r="P25" s="53" t="s">
        <v>77</v>
      </c>
      <c r="Q25" s="53" t="s">
        <v>77</v>
      </c>
      <c r="R25" s="53" t="s">
        <v>77</v>
      </c>
      <c r="S25" s="53" t="s">
        <v>77</v>
      </c>
      <c r="T25" s="40"/>
      <c r="U25" s="40"/>
    </row>
    <row r="26" spans="1:21" ht="12" customHeight="1" x14ac:dyDescent="0.2">
      <c r="A26" s="371"/>
      <c r="B26" s="52">
        <v>2019</v>
      </c>
      <c r="C26" s="223">
        <v>43810</v>
      </c>
      <c r="D26" s="212" t="s">
        <v>82</v>
      </c>
      <c r="E26" s="212" t="s">
        <v>82</v>
      </c>
      <c r="F26" s="212" t="s">
        <v>82</v>
      </c>
      <c r="G26" s="212" t="s">
        <v>82</v>
      </c>
      <c r="H26" s="217" t="s">
        <v>77</v>
      </c>
      <c r="I26" s="221" t="s">
        <v>77</v>
      </c>
      <c r="J26" s="371"/>
      <c r="K26" s="90">
        <v>2019</v>
      </c>
      <c r="L26" s="53" t="s">
        <v>77</v>
      </c>
      <c r="M26" s="77" t="s">
        <v>77</v>
      </c>
      <c r="N26" s="53" t="s">
        <v>77</v>
      </c>
      <c r="O26" s="53" t="s">
        <v>77</v>
      </c>
      <c r="P26" s="53" t="s">
        <v>77</v>
      </c>
      <c r="Q26" s="53" t="s">
        <v>77</v>
      </c>
      <c r="R26" s="53" t="s">
        <v>77</v>
      </c>
      <c r="S26" s="53" t="s">
        <v>77</v>
      </c>
    </row>
    <row r="27" spans="1:21" ht="12" customHeight="1" x14ac:dyDescent="0.2">
      <c r="A27" s="371"/>
      <c r="B27" s="52">
        <v>2020</v>
      </c>
      <c r="C27" s="223">
        <v>31100</v>
      </c>
      <c r="D27" s="212" t="s">
        <v>82</v>
      </c>
      <c r="E27" s="212" t="s">
        <v>82</v>
      </c>
      <c r="F27" s="212" t="s">
        <v>82</v>
      </c>
      <c r="G27" s="212" t="s">
        <v>82</v>
      </c>
      <c r="H27" s="217" t="s">
        <v>77</v>
      </c>
      <c r="I27" s="221" t="s">
        <v>77</v>
      </c>
      <c r="J27" s="371"/>
      <c r="K27" s="90">
        <v>2020</v>
      </c>
      <c r="L27" s="53" t="s">
        <v>77</v>
      </c>
      <c r="M27" s="77" t="s">
        <v>77</v>
      </c>
      <c r="N27" s="53" t="s">
        <v>77</v>
      </c>
      <c r="O27" s="53" t="s">
        <v>77</v>
      </c>
      <c r="P27" s="53" t="s">
        <v>77</v>
      </c>
      <c r="Q27" s="53" t="s">
        <v>77</v>
      </c>
      <c r="R27" s="53" t="s">
        <v>77</v>
      </c>
      <c r="S27" s="53" t="s">
        <v>77</v>
      </c>
      <c r="T27" s="469"/>
    </row>
    <row r="28" spans="1:21" ht="12" customHeight="1" x14ac:dyDescent="0.2">
      <c r="A28" s="371"/>
      <c r="B28" s="52"/>
      <c r="C28" s="223"/>
      <c r="D28" s="53"/>
      <c r="E28" s="53"/>
      <c r="F28" s="53"/>
      <c r="G28" s="53"/>
      <c r="H28" s="217"/>
      <c r="I28" s="221"/>
      <c r="J28" s="371"/>
      <c r="K28" s="90"/>
      <c r="L28" s="53"/>
      <c r="M28" s="77"/>
      <c r="N28" s="53"/>
      <c r="O28" s="53"/>
      <c r="P28" s="53"/>
      <c r="Q28" s="53"/>
      <c r="R28" s="53"/>
      <c r="S28" s="53"/>
    </row>
    <row r="29" spans="1:21" ht="12" customHeight="1" x14ac:dyDescent="0.2">
      <c r="A29" s="371" t="s">
        <v>32</v>
      </c>
      <c r="B29" s="55" t="s">
        <v>57</v>
      </c>
      <c r="C29" s="56">
        <v>231500</v>
      </c>
      <c r="D29" s="54">
        <v>231500</v>
      </c>
      <c r="E29" s="57">
        <v>1650</v>
      </c>
      <c r="F29" s="53" t="s">
        <v>77</v>
      </c>
      <c r="G29" s="57" t="s">
        <v>77</v>
      </c>
      <c r="H29" s="53" t="s">
        <v>77</v>
      </c>
      <c r="I29" s="57" t="s">
        <v>77</v>
      </c>
      <c r="J29" s="371" t="s">
        <v>32</v>
      </c>
      <c r="K29" s="90" t="s">
        <v>57</v>
      </c>
      <c r="L29" s="53" t="s">
        <v>77</v>
      </c>
      <c r="M29" s="77" t="s">
        <v>77</v>
      </c>
      <c r="N29" s="53" t="s">
        <v>77</v>
      </c>
      <c r="O29" s="53" t="s">
        <v>77</v>
      </c>
      <c r="P29" s="53" t="s">
        <v>77</v>
      </c>
      <c r="Q29" s="53" t="s">
        <v>77</v>
      </c>
      <c r="R29" s="53" t="s">
        <v>77</v>
      </c>
      <c r="S29" s="53" t="s">
        <v>77</v>
      </c>
    </row>
    <row r="30" spans="1:21" ht="12" customHeight="1" x14ac:dyDescent="0.2">
      <c r="A30" s="371"/>
      <c r="B30" s="55" t="s">
        <v>60</v>
      </c>
      <c r="C30" s="56" t="s">
        <v>77</v>
      </c>
      <c r="D30" s="54" t="s">
        <v>77</v>
      </c>
      <c r="E30" s="57" t="s">
        <v>77</v>
      </c>
      <c r="F30" s="53" t="s">
        <v>77</v>
      </c>
      <c r="G30" s="57" t="s">
        <v>77</v>
      </c>
      <c r="H30" s="53" t="s">
        <v>77</v>
      </c>
      <c r="I30" s="57" t="s">
        <v>77</v>
      </c>
      <c r="J30" s="371"/>
      <c r="K30" s="90" t="s">
        <v>60</v>
      </c>
      <c r="L30" s="53" t="s">
        <v>77</v>
      </c>
      <c r="M30" s="77" t="s">
        <v>77</v>
      </c>
      <c r="N30" s="53" t="s">
        <v>77</v>
      </c>
      <c r="O30" s="53" t="s">
        <v>77</v>
      </c>
      <c r="P30" s="53" t="s">
        <v>77</v>
      </c>
      <c r="Q30" s="53" t="s">
        <v>77</v>
      </c>
      <c r="R30" s="53" t="s">
        <v>77</v>
      </c>
      <c r="S30" s="53" t="s">
        <v>77</v>
      </c>
    </row>
    <row r="31" spans="1:21" ht="12" customHeight="1" x14ac:dyDescent="0.2">
      <c r="A31" s="371"/>
      <c r="B31" s="55" t="s">
        <v>64</v>
      </c>
      <c r="C31" s="219">
        <v>149000</v>
      </c>
      <c r="D31" s="54">
        <v>149000</v>
      </c>
      <c r="E31" s="221">
        <v>2240</v>
      </c>
      <c r="F31" s="53" t="s">
        <v>77</v>
      </c>
      <c r="G31" s="57" t="s">
        <v>77</v>
      </c>
      <c r="H31" s="53" t="s">
        <v>77</v>
      </c>
      <c r="I31" s="57" t="s">
        <v>77</v>
      </c>
      <c r="J31" s="371"/>
      <c r="K31" s="90" t="s">
        <v>64</v>
      </c>
      <c r="L31" s="53" t="s">
        <v>77</v>
      </c>
      <c r="M31" s="77" t="s">
        <v>77</v>
      </c>
      <c r="N31" s="53" t="s">
        <v>77</v>
      </c>
      <c r="O31" s="53" t="s">
        <v>77</v>
      </c>
      <c r="P31" s="53" t="s">
        <v>77</v>
      </c>
      <c r="Q31" s="53" t="s">
        <v>77</v>
      </c>
      <c r="R31" s="53" t="s">
        <v>77</v>
      </c>
      <c r="S31" s="53" t="s">
        <v>77</v>
      </c>
    </row>
    <row r="32" spans="1:21" ht="12" customHeight="1" x14ac:dyDescent="0.2">
      <c r="A32" s="371"/>
      <c r="B32" s="225" t="s">
        <v>81</v>
      </c>
      <c r="C32" s="219">
        <v>140000</v>
      </c>
      <c r="D32" s="54">
        <v>140000</v>
      </c>
      <c r="E32" s="221">
        <v>2170</v>
      </c>
      <c r="F32" s="212" t="s">
        <v>77</v>
      </c>
      <c r="G32" s="221" t="s">
        <v>77</v>
      </c>
      <c r="H32" s="212" t="s">
        <v>77</v>
      </c>
      <c r="I32" s="221" t="s">
        <v>77</v>
      </c>
      <c r="J32" s="371"/>
      <c r="K32" s="249" t="s">
        <v>81</v>
      </c>
      <c r="L32" s="212" t="s">
        <v>77</v>
      </c>
      <c r="M32" s="222" t="s">
        <v>77</v>
      </c>
      <c r="N32" s="212" t="s">
        <v>77</v>
      </c>
      <c r="O32" s="212" t="s">
        <v>77</v>
      </c>
      <c r="P32" s="212" t="s">
        <v>77</v>
      </c>
      <c r="Q32" s="212" t="s">
        <v>77</v>
      </c>
      <c r="R32" s="212" t="s">
        <v>77</v>
      </c>
      <c r="S32" s="212" t="s">
        <v>77</v>
      </c>
    </row>
    <row r="33" spans="1:23" ht="12" customHeight="1" x14ac:dyDescent="0.2">
      <c r="A33" s="371"/>
      <c r="B33" s="225" t="s">
        <v>88</v>
      </c>
      <c r="C33" s="219">
        <v>201000</v>
      </c>
      <c r="D33" s="54">
        <v>201000</v>
      </c>
      <c r="E33" s="221">
        <v>2050</v>
      </c>
      <c r="F33" s="212" t="s">
        <v>77</v>
      </c>
      <c r="G33" s="221" t="s">
        <v>77</v>
      </c>
      <c r="H33" s="212" t="s">
        <v>77</v>
      </c>
      <c r="I33" s="221" t="s">
        <v>77</v>
      </c>
      <c r="J33" s="501"/>
      <c r="K33" s="249" t="s">
        <v>88</v>
      </c>
      <c r="L33" s="212" t="s">
        <v>77</v>
      </c>
      <c r="M33" s="222" t="s">
        <v>77</v>
      </c>
      <c r="N33" s="212" t="s">
        <v>77</v>
      </c>
      <c r="O33" s="212" t="s">
        <v>77</v>
      </c>
      <c r="P33" s="212" t="s">
        <v>77</v>
      </c>
      <c r="Q33" s="212" t="s">
        <v>77</v>
      </c>
      <c r="R33" s="212" t="s">
        <v>77</v>
      </c>
      <c r="S33" s="212" t="s">
        <v>77</v>
      </c>
      <c r="T33" s="40"/>
      <c r="U33" s="40"/>
      <c r="V33" s="40"/>
      <c r="W33" s="40"/>
    </row>
    <row r="34" spans="1:23" ht="12" customHeight="1" x14ac:dyDescent="0.2">
      <c r="A34" s="371"/>
      <c r="B34" s="225" t="s">
        <v>90</v>
      </c>
      <c r="C34" s="219">
        <v>112000</v>
      </c>
      <c r="D34" s="54">
        <v>108000</v>
      </c>
      <c r="E34" s="221">
        <v>3200</v>
      </c>
      <c r="F34" s="217">
        <v>4000</v>
      </c>
      <c r="G34" s="221">
        <v>1410</v>
      </c>
      <c r="H34" s="212" t="s">
        <v>77</v>
      </c>
      <c r="I34" s="221" t="s">
        <v>77</v>
      </c>
      <c r="J34" s="501"/>
      <c r="K34" s="249" t="s">
        <v>90</v>
      </c>
      <c r="L34" s="212" t="s">
        <v>77</v>
      </c>
      <c r="M34" s="222" t="s">
        <v>77</v>
      </c>
      <c r="N34" s="212" t="s">
        <v>77</v>
      </c>
      <c r="O34" s="212" t="s">
        <v>77</v>
      </c>
      <c r="P34" s="212" t="s">
        <v>77</v>
      </c>
      <c r="Q34" s="212" t="s">
        <v>77</v>
      </c>
      <c r="R34" s="212" t="s">
        <v>77</v>
      </c>
      <c r="S34" s="212" t="s">
        <v>77</v>
      </c>
      <c r="T34" s="40"/>
      <c r="U34" s="40"/>
      <c r="V34" s="40"/>
      <c r="W34" s="40"/>
    </row>
    <row r="35" spans="1:23" ht="12" customHeight="1" x14ac:dyDescent="0.2">
      <c r="A35" s="371"/>
      <c r="B35" s="52" t="s">
        <v>94</v>
      </c>
      <c r="C35" s="223">
        <v>169000</v>
      </c>
      <c r="D35" s="217">
        <v>168000</v>
      </c>
      <c r="E35" s="221">
        <v>2270</v>
      </c>
      <c r="F35" s="217">
        <v>1000</v>
      </c>
      <c r="G35" s="221">
        <v>1100</v>
      </c>
      <c r="H35" s="53" t="s">
        <v>77</v>
      </c>
      <c r="I35" s="57" t="s">
        <v>77</v>
      </c>
      <c r="J35" s="501"/>
      <c r="K35" s="484" t="s">
        <v>94</v>
      </c>
      <c r="L35" s="212" t="s">
        <v>77</v>
      </c>
      <c r="M35" s="222" t="s">
        <v>77</v>
      </c>
      <c r="N35" s="212" t="s">
        <v>77</v>
      </c>
      <c r="O35" s="212" t="s">
        <v>77</v>
      </c>
      <c r="P35" s="212" t="s">
        <v>77</v>
      </c>
      <c r="Q35" s="212" t="s">
        <v>77</v>
      </c>
      <c r="R35" s="212" t="s">
        <v>77</v>
      </c>
      <c r="S35" s="212" t="s">
        <v>77</v>
      </c>
      <c r="T35" s="40"/>
      <c r="U35" s="40"/>
      <c r="V35" s="40"/>
      <c r="W35" s="40"/>
    </row>
    <row r="36" spans="1:23" ht="12" customHeight="1" x14ac:dyDescent="0.2">
      <c r="A36" s="485"/>
      <c r="B36" s="52" t="s">
        <v>138</v>
      </c>
      <c r="C36" s="223">
        <v>169100</v>
      </c>
      <c r="D36" s="217" t="s">
        <v>82</v>
      </c>
      <c r="E36" s="221" t="s">
        <v>82</v>
      </c>
      <c r="F36" s="217" t="s">
        <v>82</v>
      </c>
      <c r="G36" s="221" t="s">
        <v>82</v>
      </c>
      <c r="H36" s="53" t="s">
        <v>77</v>
      </c>
      <c r="I36" s="57" t="s">
        <v>77</v>
      </c>
      <c r="J36" s="485"/>
      <c r="K36" s="484" t="s">
        <v>138</v>
      </c>
      <c r="L36" s="212" t="s">
        <v>77</v>
      </c>
      <c r="M36" s="222" t="s">
        <v>77</v>
      </c>
      <c r="N36" s="212" t="s">
        <v>77</v>
      </c>
      <c r="O36" s="212" t="s">
        <v>77</v>
      </c>
      <c r="P36" s="212" t="s">
        <v>77</v>
      </c>
      <c r="Q36" s="212" t="s">
        <v>77</v>
      </c>
      <c r="R36" s="212" t="s">
        <v>77</v>
      </c>
      <c r="S36" s="212" t="s">
        <v>77</v>
      </c>
    </row>
    <row r="37" spans="1:23" ht="12" customHeight="1" x14ac:dyDescent="0.2">
      <c r="A37" s="485"/>
      <c r="B37" s="52" t="s">
        <v>142</v>
      </c>
      <c r="C37" s="223">
        <v>108430</v>
      </c>
      <c r="D37" s="217" t="s">
        <v>82</v>
      </c>
      <c r="E37" s="221" t="s">
        <v>82</v>
      </c>
      <c r="F37" s="217" t="s">
        <v>82</v>
      </c>
      <c r="G37" s="221" t="s">
        <v>82</v>
      </c>
      <c r="H37" s="53" t="s">
        <v>77</v>
      </c>
      <c r="I37" s="57" t="s">
        <v>77</v>
      </c>
      <c r="J37" s="485"/>
      <c r="K37" s="484" t="s">
        <v>142</v>
      </c>
      <c r="L37" s="212" t="s">
        <v>77</v>
      </c>
      <c r="M37" s="222" t="s">
        <v>77</v>
      </c>
      <c r="N37" s="212" t="s">
        <v>77</v>
      </c>
      <c r="O37" s="212" t="s">
        <v>77</v>
      </c>
      <c r="P37" s="212" t="s">
        <v>77</v>
      </c>
      <c r="Q37" s="212" t="s">
        <v>77</v>
      </c>
      <c r="R37" s="212" t="s">
        <v>77</v>
      </c>
      <c r="S37" s="212" t="s">
        <v>77</v>
      </c>
    </row>
    <row r="38" spans="1:23" ht="12" customHeight="1" x14ac:dyDescent="0.2">
      <c r="A38" s="485"/>
      <c r="B38" s="92" t="s">
        <v>148</v>
      </c>
      <c r="C38" s="223">
        <v>187940</v>
      </c>
      <c r="D38" s="217" t="s">
        <v>82</v>
      </c>
      <c r="E38" s="217" t="s">
        <v>82</v>
      </c>
      <c r="F38" s="217" t="s">
        <v>82</v>
      </c>
      <c r="G38" s="217" t="s">
        <v>82</v>
      </c>
      <c r="H38" s="53" t="s">
        <v>77</v>
      </c>
      <c r="I38" s="57" t="s">
        <v>77</v>
      </c>
      <c r="J38" s="485"/>
      <c r="K38" s="484" t="s">
        <v>148</v>
      </c>
      <c r="L38" s="212" t="s">
        <v>77</v>
      </c>
      <c r="M38" s="212" t="s">
        <v>77</v>
      </c>
      <c r="N38" s="212" t="s">
        <v>77</v>
      </c>
      <c r="O38" s="212" t="s">
        <v>77</v>
      </c>
      <c r="P38" s="212" t="s">
        <v>77</v>
      </c>
      <c r="Q38" s="212" t="s">
        <v>77</v>
      </c>
      <c r="R38" s="212" t="s">
        <v>77</v>
      </c>
      <c r="S38" s="212" t="s">
        <v>77</v>
      </c>
      <c r="T38" s="469"/>
    </row>
    <row r="39" spans="1:23" ht="12" customHeight="1" x14ac:dyDescent="0.2">
      <c r="A39" s="485"/>
      <c r="B39" s="52"/>
      <c r="C39" s="223"/>
      <c r="D39" s="54"/>
      <c r="E39" s="221"/>
      <c r="F39" s="217"/>
      <c r="G39" s="221"/>
      <c r="H39" s="53"/>
      <c r="I39" s="57"/>
      <c r="J39" s="485"/>
      <c r="K39" s="484"/>
      <c r="L39" s="212"/>
      <c r="M39" s="222"/>
      <c r="N39" s="212"/>
      <c r="O39" s="212"/>
      <c r="P39" s="212"/>
      <c r="Q39" s="212"/>
      <c r="R39" s="212"/>
      <c r="S39" s="212"/>
    </row>
    <row r="40" spans="1:23" ht="12" customHeight="1" x14ac:dyDescent="0.2">
      <c r="A40" s="371" t="s">
        <v>200</v>
      </c>
      <c r="B40" s="52">
        <v>2011</v>
      </c>
      <c r="C40" s="56">
        <v>66000</v>
      </c>
      <c r="D40" s="54">
        <v>57000</v>
      </c>
      <c r="E40" s="57">
        <v>3430</v>
      </c>
      <c r="F40" s="54">
        <v>9000</v>
      </c>
      <c r="G40" s="57">
        <v>193</v>
      </c>
      <c r="H40" s="53" t="s">
        <v>77</v>
      </c>
      <c r="I40" s="57" t="s">
        <v>77</v>
      </c>
      <c r="J40" s="371" t="s">
        <v>200</v>
      </c>
      <c r="K40" s="52">
        <v>2011</v>
      </c>
      <c r="L40" s="53" t="s">
        <v>77</v>
      </c>
      <c r="M40" s="77" t="s">
        <v>77</v>
      </c>
      <c r="N40" s="53" t="s">
        <v>77</v>
      </c>
      <c r="O40" s="53" t="s">
        <v>77</v>
      </c>
      <c r="P40" s="53" t="s">
        <v>77</v>
      </c>
      <c r="Q40" s="53" t="s">
        <v>77</v>
      </c>
      <c r="R40" s="53" t="s">
        <v>77</v>
      </c>
      <c r="S40" s="53" t="s">
        <v>77</v>
      </c>
    </row>
    <row r="41" spans="1:23" ht="12" customHeight="1" x14ac:dyDescent="0.2">
      <c r="A41" s="371"/>
      <c r="B41" s="52">
        <v>2012</v>
      </c>
      <c r="C41" s="56">
        <v>89300</v>
      </c>
      <c r="D41" s="54">
        <v>78000</v>
      </c>
      <c r="E41" s="57">
        <v>3270</v>
      </c>
      <c r="F41" s="54">
        <v>11300</v>
      </c>
      <c r="G41" s="57">
        <v>240</v>
      </c>
      <c r="H41" s="53" t="s">
        <v>77</v>
      </c>
      <c r="I41" s="57" t="s">
        <v>77</v>
      </c>
      <c r="J41" s="371"/>
      <c r="K41" s="52">
        <v>2012</v>
      </c>
      <c r="L41" s="53" t="s">
        <v>77</v>
      </c>
      <c r="M41" s="77" t="s">
        <v>77</v>
      </c>
      <c r="N41" s="53" t="s">
        <v>77</v>
      </c>
      <c r="O41" s="53" t="s">
        <v>77</v>
      </c>
      <c r="P41" s="53" t="s">
        <v>77</v>
      </c>
      <c r="Q41" s="53" t="s">
        <v>77</v>
      </c>
      <c r="R41" s="53" t="s">
        <v>77</v>
      </c>
      <c r="S41" s="53" t="s">
        <v>77</v>
      </c>
    </row>
    <row r="42" spans="1:23" ht="12" customHeight="1" x14ac:dyDescent="0.2">
      <c r="A42" s="371"/>
      <c r="B42" s="52">
        <v>2013</v>
      </c>
      <c r="C42" s="56">
        <v>78500</v>
      </c>
      <c r="D42" s="54">
        <v>70000</v>
      </c>
      <c r="E42" s="57">
        <v>3730</v>
      </c>
      <c r="F42" s="54">
        <v>8500</v>
      </c>
      <c r="G42" s="57">
        <v>572</v>
      </c>
      <c r="H42" s="53" t="s">
        <v>77</v>
      </c>
      <c r="I42" s="57" t="s">
        <v>77</v>
      </c>
      <c r="J42" s="371"/>
      <c r="K42" s="52">
        <v>2013</v>
      </c>
      <c r="L42" s="53" t="s">
        <v>77</v>
      </c>
      <c r="M42" s="77" t="s">
        <v>77</v>
      </c>
      <c r="N42" s="53" t="s">
        <v>77</v>
      </c>
      <c r="O42" s="53" t="s">
        <v>77</v>
      </c>
      <c r="P42" s="53" t="s">
        <v>77</v>
      </c>
      <c r="Q42" s="53" t="s">
        <v>77</v>
      </c>
      <c r="R42" s="53" t="s">
        <v>77</v>
      </c>
      <c r="S42" s="53" t="s">
        <v>77</v>
      </c>
    </row>
    <row r="43" spans="1:23" ht="12" customHeight="1" x14ac:dyDescent="0.2">
      <c r="A43" s="371"/>
      <c r="B43" s="52">
        <v>2014</v>
      </c>
      <c r="C43" s="56">
        <v>29200</v>
      </c>
      <c r="D43" s="54">
        <v>25000</v>
      </c>
      <c r="E43" s="57">
        <v>5550</v>
      </c>
      <c r="F43" s="54">
        <v>4200</v>
      </c>
      <c r="G43" s="57">
        <v>603</v>
      </c>
      <c r="H43" s="53" t="s">
        <v>77</v>
      </c>
      <c r="I43" s="57" t="s">
        <v>77</v>
      </c>
      <c r="J43" s="371"/>
      <c r="K43" s="52">
        <v>2014</v>
      </c>
      <c r="L43" s="53" t="s">
        <v>77</v>
      </c>
      <c r="M43" s="77" t="s">
        <v>77</v>
      </c>
      <c r="N43" s="53" t="s">
        <v>77</v>
      </c>
      <c r="O43" s="53" t="s">
        <v>77</v>
      </c>
      <c r="P43" s="53" t="s">
        <v>77</v>
      </c>
      <c r="Q43" s="53" t="s">
        <v>77</v>
      </c>
      <c r="R43" s="53" t="s">
        <v>77</v>
      </c>
      <c r="S43" s="53" t="s">
        <v>77</v>
      </c>
    </row>
    <row r="44" spans="1:23" ht="12" customHeight="1" x14ac:dyDescent="0.2">
      <c r="A44" s="371"/>
      <c r="B44" s="92">
        <v>2015</v>
      </c>
      <c r="C44" s="223">
        <v>59500</v>
      </c>
      <c r="D44" s="217">
        <v>53300</v>
      </c>
      <c r="E44" s="221">
        <v>4270</v>
      </c>
      <c r="F44" s="217">
        <v>6200</v>
      </c>
      <c r="G44" s="221">
        <v>764</v>
      </c>
      <c r="H44" s="212" t="s">
        <v>77</v>
      </c>
      <c r="I44" s="221" t="s">
        <v>77</v>
      </c>
      <c r="J44" s="371"/>
      <c r="K44" s="92">
        <v>2015</v>
      </c>
      <c r="L44" s="212" t="s">
        <v>77</v>
      </c>
      <c r="M44" s="222" t="s">
        <v>77</v>
      </c>
      <c r="N44" s="212" t="s">
        <v>77</v>
      </c>
      <c r="O44" s="212" t="s">
        <v>77</v>
      </c>
      <c r="P44" s="212" t="s">
        <v>77</v>
      </c>
      <c r="Q44" s="212" t="s">
        <v>77</v>
      </c>
      <c r="R44" s="212" t="s">
        <v>77</v>
      </c>
      <c r="S44" s="212" t="s">
        <v>77</v>
      </c>
    </row>
    <row r="45" spans="1:23" ht="12" customHeight="1" x14ac:dyDescent="0.2">
      <c r="A45" s="371"/>
      <c r="B45" s="92">
        <v>2016</v>
      </c>
      <c r="C45" s="223">
        <v>52500</v>
      </c>
      <c r="D45" s="217">
        <v>47400</v>
      </c>
      <c r="E45" s="221">
        <v>3810</v>
      </c>
      <c r="F45" s="217">
        <v>5100</v>
      </c>
      <c r="G45" s="221">
        <v>764</v>
      </c>
      <c r="H45" s="212" t="s">
        <v>77</v>
      </c>
      <c r="I45" s="221" t="s">
        <v>77</v>
      </c>
      <c r="J45" s="371"/>
      <c r="K45" s="92">
        <v>2016</v>
      </c>
      <c r="L45" s="212" t="s">
        <v>77</v>
      </c>
      <c r="M45" s="222" t="s">
        <v>77</v>
      </c>
      <c r="N45" s="212" t="s">
        <v>77</v>
      </c>
      <c r="O45" s="212" t="s">
        <v>77</v>
      </c>
      <c r="P45" s="212" t="s">
        <v>77</v>
      </c>
      <c r="Q45" s="212" t="s">
        <v>77</v>
      </c>
      <c r="R45" s="212" t="s">
        <v>77</v>
      </c>
      <c r="S45" s="212" t="s">
        <v>77</v>
      </c>
    </row>
    <row r="46" spans="1:23" ht="12" customHeight="1" x14ac:dyDescent="0.2">
      <c r="A46" s="371"/>
      <c r="B46" s="92">
        <v>2017</v>
      </c>
      <c r="C46" s="223">
        <v>95000</v>
      </c>
      <c r="D46" s="217">
        <v>86600</v>
      </c>
      <c r="E46" s="221">
        <v>3750</v>
      </c>
      <c r="F46" s="217">
        <v>8400</v>
      </c>
      <c r="G46" s="221">
        <v>717</v>
      </c>
      <c r="H46" s="212" t="s">
        <v>77</v>
      </c>
      <c r="I46" s="221" t="s">
        <v>77</v>
      </c>
      <c r="J46" s="371"/>
      <c r="K46" s="92">
        <v>2017</v>
      </c>
      <c r="L46" s="212" t="s">
        <v>77</v>
      </c>
      <c r="M46" s="222" t="s">
        <v>77</v>
      </c>
      <c r="N46" s="212" t="s">
        <v>77</v>
      </c>
      <c r="O46" s="212" t="s">
        <v>77</v>
      </c>
      <c r="P46" s="212" t="s">
        <v>77</v>
      </c>
      <c r="Q46" s="212" t="s">
        <v>77</v>
      </c>
      <c r="R46" s="212" t="s">
        <v>77</v>
      </c>
      <c r="S46" s="212" t="s">
        <v>77</v>
      </c>
    </row>
    <row r="47" spans="1:23" ht="12" customHeight="1" x14ac:dyDescent="0.2">
      <c r="A47" s="371"/>
      <c r="B47" s="52">
        <v>2018</v>
      </c>
      <c r="C47" s="223">
        <v>44170</v>
      </c>
      <c r="D47" s="217">
        <v>35660</v>
      </c>
      <c r="E47" s="221">
        <v>3770</v>
      </c>
      <c r="F47" s="217">
        <v>8510</v>
      </c>
      <c r="G47" s="221">
        <v>700</v>
      </c>
      <c r="H47" s="53" t="s">
        <v>77</v>
      </c>
      <c r="I47" s="57" t="s">
        <v>77</v>
      </c>
      <c r="J47" s="371"/>
      <c r="K47" s="484">
        <v>2018</v>
      </c>
      <c r="L47" s="212" t="s">
        <v>77</v>
      </c>
      <c r="M47" s="222" t="s">
        <v>77</v>
      </c>
      <c r="N47" s="212" t="s">
        <v>77</v>
      </c>
      <c r="O47" s="212" t="s">
        <v>77</v>
      </c>
      <c r="P47" s="212" t="s">
        <v>77</v>
      </c>
      <c r="Q47" s="212" t="s">
        <v>77</v>
      </c>
      <c r="R47" s="212" t="s">
        <v>77</v>
      </c>
      <c r="S47" s="212" t="s">
        <v>77</v>
      </c>
    </row>
    <row r="48" spans="1:23" ht="12" customHeight="1" x14ac:dyDescent="0.2">
      <c r="A48" s="485"/>
      <c r="B48" s="52">
        <v>2019</v>
      </c>
      <c r="C48" s="223">
        <f>48500+4230</f>
        <v>52730</v>
      </c>
      <c r="D48" s="217">
        <v>48500</v>
      </c>
      <c r="E48" s="221">
        <v>3760</v>
      </c>
      <c r="F48" s="217">
        <v>4230</v>
      </c>
      <c r="G48" s="221">
        <v>710</v>
      </c>
      <c r="H48" s="53" t="s">
        <v>77</v>
      </c>
      <c r="I48" s="57" t="s">
        <v>77</v>
      </c>
      <c r="J48" s="485"/>
      <c r="K48" s="484">
        <v>2019</v>
      </c>
      <c r="L48" s="212" t="s">
        <v>77</v>
      </c>
      <c r="M48" s="222" t="s">
        <v>77</v>
      </c>
      <c r="N48" s="212" t="s">
        <v>77</v>
      </c>
      <c r="O48" s="212" t="s">
        <v>77</v>
      </c>
      <c r="P48" s="212" t="s">
        <v>77</v>
      </c>
      <c r="Q48" s="212" t="s">
        <v>77</v>
      </c>
      <c r="R48" s="212" t="s">
        <v>77</v>
      </c>
      <c r="S48" s="212" t="s">
        <v>77</v>
      </c>
    </row>
    <row r="49" spans="1:20" ht="12" customHeight="1" x14ac:dyDescent="0.2">
      <c r="A49" s="485"/>
      <c r="B49" s="52">
        <v>2020</v>
      </c>
      <c r="C49" s="223">
        <f>59360+4200</f>
        <v>63560</v>
      </c>
      <c r="D49" s="217">
        <v>59360</v>
      </c>
      <c r="E49" s="221">
        <v>3490</v>
      </c>
      <c r="F49" s="217">
        <v>4200</v>
      </c>
      <c r="G49" s="221">
        <v>785</v>
      </c>
      <c r="H49" s="53" t="s">
        <v>77</v>
      </c>
      <c r="I49" s="57" t="s">
        <v>77</v>
      </c>
      <c r="J49" s="485"/>
      <c r="K49" s="484">
        <v>2020</v>
      </c>
      <c r="L49" s="212" t="s">
        <v>77</v>
      </c>
      <c r="M49" s="222" t="s">
        <v>77</v>
      </c>
      <c r="N49" s="212" t="s">
        <v>77</v>
      </c>
      <c r="O49" s="212" t="s">
        <v>77</v>
      </c>
      <c r="P49" s="212" t="s">
        <v>77</v>
      </c>
      <c r="Q49" s="212" t="s">
        <v>77</v>
      </c>
      <c r="R49" s="212" t="s">
        <v>77</v>
      </c>
      <c r="S49" s="212" t="s">
        <v>77</v>
      </c>
      <c r="T49" s="469"/>
    </row>
    <row r="50" spans="1:20" ht="12" customHeight="1" x14ac:dyDescent="0.2">
      <c r="A50" s="485"/>
      <c r="B50" s="52"/>
      <c r="C50" s="223"/>
      <c r="D50" s="217"/>
      <c r="E50" s="221"/>
      <c r="F50" s="217"/>
      <c r="G50" s="221"/>
      <c r="H50" s="53"/>
      <c r="I50" s="57"/>
      <c r="J50" s="485"/>
      <c r="K50" s="484"/>
      <c r="L50" s="212"/>
      <c r="M50" s="222"/>
      <c r="N50" s="212"/>
      <c r="O50" s="212"/>
      <c r="P50" s="212"/>
      <c r="Q50" s="212"/>
      <c r="R50" s="212"/>
      <c r="S50" s="212"/>
    </row>
    <row r="51" spans="1:20" ht="12" customHeight="1" x14ac:dyDescent="0.2">
      <c r="A51" s="371" t="s">
        <v>34</v>
      </c>
      <c r="B51" s="52">
        <v>2011</v>
      </c>
      <c r="C51" s="56">
        <v>33300</v>
      </c>
      <c r="D51" s="54">
        <v>33100</v>
      </c>
      <c r="E51" s="57">
        <v>1320</v>
      </c>
      <c r="F51" s="53" t="s">
        <v>77</v>
      </c>
      <c r="G51" s="57" t="s">
        <v>77</v>
      </c>
      <c r="H51" s="53" t="s">
        <v>77</v>
      </c>
      <c r="I51" s="57" t="s">
        <v>77</v>
      </c>
      <c r="J51" s="371" t="s">
        <v>34</v>
      </c>
      <c r="K51" s="52">
        <v>2011</v>
      </c>
      <c r="L51" s="53" t="s">
        <v>77</v>
      </c>
      <c r="M51" s="77" t="s">
        <v>77</v>
      </c>
      <c r="N51" s="53" t="s">
        <v>77</v>
      </c>
      <c r="O51" s="53" t="s">
        <v>77</v>
      </c>
      <c r="P51" s="53" t="s">
        <v>77</v>
      </c>
      <c r="Q51" s="53" t="s">
        <v>77</v>
      </c>
      <c r="R51" s="53" t="s">
        <v>77</v>
      </c>
      <c r="S51" s="53" t="s">
        <v>77</v>
      </c>
    </row>
    <row r="52" spans="1:20" ht="12" customHeight="1" x14ac:dyDescent="0.2">
      <c r="A52" s="371"/>
      <c r="B52" s="52">
        <v>2012</v>
      </c>
      <c r="C52" s="56">
        <v>31100</v>
      </c>
      <c r="D52" s="54">
        <v>31100</v>
      </c>
      <c r="E52" s="57">
        <v>1340</v>
      </c>
      <c r="F52" s="53" t="s">
        <v>77</v>
      </c>
      <c r="G52" s="57" t="s">
        <v>77</v>
      </c>
      <c r="H52" s="53" t="s">
        <v>77</v>
      </c>
      <c r="I52" s="57" t="s">
        <v>77</v>
      </c>
      <c r="J52" s="371"/>
      <c r="K52" s="52">
        <v>2012</v>
      </c>
      <c r="L52" s="53" t="s">
        <v>77</v>
      </c>
      <c r="M52" s="77" t="s">
        <v>77</v>
      </c>
      <c r="N52" s="53" t="s">
        <v>77</v>
      </c>
      <c r="O52" s="53" t="s">
        <v>77</v>
      </c>
      <c r="P52" s="53" t="s">
        <v>77</v>
      </c>
      <c r="Q52" s="53" t="s">
        <v>77</v>
      </c>
      <c r="R52" s="53" t="s">
        <v>77</v>
      </c>
      <c r="S52" s="53" t="s">
        <v>77</v>
      </c>
    </row>
    <row r="53" spans="1:20" ht="12" customHeight="1" x14ac:dyDescent="0.2">
      <c r="A53" s="371"/>
      <c r="B53" s="52">
        <v>2013</v>
      </c>
      <c r="C53" s="56">
        <v>30500</v>
      </c>
      <c r="D53" s="54">
        <v>30500</v>
      </c>
      <c r="E53" s="57">
        <v>1220</v>
      </c>
      <c r="F53" s="53" t="s">
        <v>77</v>
      </c>
      <c r="G53" s="57" t="s">
        <v>77</v>
      </c>
      <c r="H53" s="53" t="s">
        <v>77</v>
      </c>
      <c r="I53" s="57" t="s">
        <v>77</v>
      </c>
      <c r="J53" s="371"/>
      <c r="K53" s="52">
        <v>2013</v>
      </c>
      <c r="L53" s="53" t="s">
        <v>77</v>
      </c>
      <c r="M53" s="77" t="s">
        <v>77</v>
      </c>
      <c r="N53" s="53" t="s">
        <v>77</v>
      </c>
      <c r="O53" s="53" t="s">
        <v>77</v>
      </c>
      <c r="P53" s="53" t="s">
        <v>77</v>
      </c>
      <c r="Q53" s="53" t="s">
        <v>77</v>
      </c>
      <c r="R53" s="53" t="s">
        <v>77</v>
      </c>
      <c r="S53" s="53" t="s">
        <v>77</v>
      </c>
    </row>
    <row r="54" spans="1:20" ht="12" customHeight="1" x14ac:dyDescent="0.2">
      <c r="A54" s="371"/>
      <c r="B54" s="52">
        <v>2014</v>
      </c>
      <c r="C54" s="56">
        <v>33400</v>
      </c>
      <c r="D54" s="54">
        <v>33400</v>
      </c>
      <c r="E54" s="57">
        <v>1510</v>
      </c>
      <c r="F54" s="53" t="s">
        <v>77</v>
      </c>
      <c r="G54" s="57" t="s">
        <v>77</v>
      </c>
      <c r="H54" s="53" t="s">
        <v>77</v>
      </c>
      <c r="I54" s="57" t="s">
        <v>77</v>
      </c>
      <c r="J54" s="371"/>
      <c r="K54" s="52">
        <v>2014</v>
      </c>
      <c r="L54" s="75" t="s">
        <v>77</v>
      </c>
      <c r="M54" s="91" t="s">
        <v>77</v>
      </c>
      <c r="N54" s="75" t="s">
        <v>77</v>
      </c>
      <c r="O54" s="359" t="s">
        <v>77</v>
      </c>
      <c r="P54" s="75" t="s">
        <v>77</v>
      </c>
      <c r="Q54" s="359" t="s">
        <v>77</v>
      </c>
      <c r="R54" s="75" t="s">
        <v>77</v>
      </c>
      <c r="S54" s="359" t="s">
        <v>77</v>
      </c>
    </row>
    <row r="55" spans="1:20" ht="12" customHeight="1" x14ac:dyDescent="0.2">
      <c r="A55" s="371"/>
      <c r="B55" s="92">
        <v>2015</v>
      </c>
      <c r="C55" s="223">
        <v>39000</v>
      </c>
      <c r="D55" s="217">
        <v>39000</v>
      </c>
      <c r="E55" s="221">
        <v>1560</v>
      </c>
      <c r="F55" s="212" t="s">
        <v>77</v>
      </c>
      <c r="G55" s="221" t="s">
        <v>77</v>
      </c>
      <c r="H55" s="212" t="s">
        <v>77</v>
      </c>
      <c r="I55" s="221" t="s">
        <v>77</v>
      </c>
      <c r="J55" s="371"/>
      <c r="K55" s="92">
        <v>2015</v>
      </c>
      <c r="L55" s="233" t="s">
        <v>77</v>
      </c>
      <c r="M55" s="250" t="s">
        <v>77</v>
      </c>
      <c r="N55" s="233" t="s">
        <v>77</v>
      </c>
      <c r="O55" s="397" t="s">
        <v>77</v>
      </c>
      <c r="P55" s="233" t="s">
        <v>77</v>
      </c>
      <c r="Q55" s="397" t="s">
        <v>77</v>
      </c>
      <c r="R55" s="233" t="s">
        <v>77</v>
      </c>
      <c r="S55" s="397" t="s">
        <v>77</v>
      </c>
    </row>
    <row r="56" spans="1:20" ht="12" customHeight="1" x14ac:dyDescent="0.2">
      <c r="A56" s="371"/>
      <c r="B56" s="92">
        <v>2016</v>
      </c>
      <c r="C56" s="223">
        <v>30200</v>
      </c>
      <c r="D56" s="217">
        <v>30200</v>
      </c>
      <c r="E56" s="221">
        <v>1790</v>
      </c>
      <c r="F56" s="212" t="s">
        <v>77</v>
      </c>
      <c r="G56" s="221" t="s">
        <v>77</v>
      </c>
      <c r="H56" s="212" t="s">
        <v>77</v>
      </c>
      <c r="I56" s="221" t="s">
        <v>77</v>
      </c>
      <c r="J56" s="371"/>
      <c r="K56" s="92">
        <v>2016</v>
      </c>
      <c r="L56" s="233" t="s">
        <v>77</v>
      </c>
      <c r="M56" s="250" t="s">
        <v>77</v>
      </c>
      <c r="N56" s="233" t="s">
        <v>77</v>
      </c>
      <c r="O56" s="397" t="s">
        <v>77</v>
      </c>
      <c r="P56" s="233" t="s">
        <v>77</v>
      </c>
      <c r="Q56" s="397" t="s">
        <v>77</v>
      </c>
      <c r="R56" s="233" t="s">
        <v>77</v>
      </c>
      <c r="S56" s="397" t="s">
        <v>77</v>
      </c>
    </row>
    <row r="57" spans="1:20" ht="12" customHeight="1" x14ac:dyDescent="0.2">
      <c r="A57" s="371"/>
      <c r="B57" s="459">
        <v>2017</v>
      </c>
      <c r="C57" s="223">
        <v>34750</v>
      </c>
      <c r="D57" s="217" t="s">
        <v>82</v>
      </c>
      <c r="E57" s="221" t="s">
        <v>82</v>
      </c>
      <c r="F57" s="212" t="s">
        <v>77</v>
      </c>
      <c r="G57" s="221" t="s">
        <v>77</v>
      </c>
      <c r="H57" s="212" t="s">
        <v>77</v>
      </c>
      <c r="I57" s="221" t="s">
        <v>77</v>
      </c>
      <c r="J57" s="371"/>
      <c r="K57" s="459">
        <v>2017</v>
      </c>
      <c r="L57" s="233" t="s">
        <v>77</v>
      </c>
      <c r="M57" s="250" t="s">
        <v>77</v>
      </c>
      <c r="N57" s="233" t="s">
        <v>77</v>
      </c>
      <c r="O57" s="397" t="s">
        <v>77</v>
      </c>
      <c r="P57" s="233" t="s">
        <v>77</v>
      </c>
      <c r="Q57" s="397" t="s">
        <v>77</v>
      </c>
      <c r="R57" s="233" t="s">
        <v>77</v>
      </c>
      <c r="S57" s="397" t="s">
        <v>77</v>
      </c>
    </row>
    <row r="58" spans="1:20" s="14" customFormat="1" ht="12" customHeight="1" x14ac:dyDescent="0.2">
      <c r="A58" s="486"/>
      <c r="B58" s="395">
        <v>2018</v>
      </c>
      <c r="C58" s="396">
        <v>29100</v>
      </c>
      <c r="D58" s="233" t="s">
        <v>82</v>
      </c>
      <c r="E58" s="397" t="s">
        <v>82</v>
      </c>
      <c r="F58" s="235" t="s">
        <v>82</v>
      </c>
      <c r="G58" s="397" t="s">
        <v>82</v>
      </c>
      <c r="H58" s="235" t="s">
        <v>77</v>
      </c>
      <c r="I58" s="397" t="s">
        <v>77</v>
      </c>
      <c r="J58" s="486"/>
      <c r="K58" s="395">
        <v>2018</v>
      </c>
      <c r="L58" s="233" t="s">
        <v>77</v>
      </c>
      <c r="M58" s="250" t="s">
        <v>77</v>
      </c>
      <c r="N58" s="233" t="s">
        <v>77</v>
      </c>
      <c r="O58" s="397" t="s">
        <v>77</v>
      </c>
      <c r="P58" s="233" t="s">
        <v>77</v>
      </c>
      <c r="Q58" s="397" t="s">
        <v>77</v>
      </c>
      <c r="R58" s="233" t="s">
        <v>77</v>
      </c>
      <c r="S58" s="397" t="s">
        <v>77</v>
      </c>
    </row>
    <row r="59" spans="1:20" s="14" customFormat="1" ht="12" customHeight="1" x14ac:dyDescent="0.2">
      <c r="A59" s="485"/>
      <c r="B59" s="395">
        <v>2019</v>
      </c>
      <c r="C59" s="396">
        <v>48160</v>
      </c>
      <c r="D59" s="233" t="s">
        <v>82</v>
      </c>
      <c r="E59" s="397" t="s">
        <v>82</v>
      </c>
      <c r="F59" s="235" t="s">
        <v>82</v>
      </c>
      <c r="G59" s="397" t="s">
        <v>82</v>
      </c>
      <c r="H59" s="235" t="s">
        <v>77</v>
      </c>
      <c r="I59" s="397" t="s">
        <v>77</v>
      </c>
      <c r="J59" s="485"/>
      <c r="K59" s="395">
        <v>2019</v>
      </c>
      <c r="L59" s="233" t="s">
        <v>77</v>
      </c>
      <c r="M59" s="250" t="s">
        <v>77</v>
      </c>
      <c r="N59" s="233" t="s">
        <v>77</v>
      </c>
      <c r="O59" s="397" t="s">
        <v>77</v>
      </c>
      <c r="P59" s="233" t="s">
        <v>77</v>
      </c>
      <c r="Q59" s="397" t="s">
        <v>77</v>
      </c>
      <c r="R59" s="233" t="s">
        <v>77</v>
      </c>
      <c r="S59" s="397" t="s">
        <v>77</v>
      </c>
    </row>
    <row r="60" spans="1:20" s="42" customFormat="1" ht="12" customHeight="1" x14ac:dyDescent="0.2">
      <c r="A60" s="488"/>
      <c r="B60" s="128">
        <v>2020</v>
      </c>
      <c r="C60" s="421" t="s">
        <v>82</v>
      </c>
      <c r="D60" s="227" t="s">
        <v>82</v>
      </c>
      <c r="E60" s="228" t="s">
        <v>82</v>
      </c>
      <c r="F60" s="229" t="s">
        <v>82</v>
      </c>
      <c r="G60" s="228" t="s">
        <v>82</v>
      </c>
      <c r="H60" s="229" t="s">
        <v>77</v>
      </c>
      <c r="I60" s="228" t="s">
        <v>77</v>
      </c>
      <c r="J60" s="488"/>
      <c r="K60" s="128">
        <v>2020</v>
      </c>
      <c r="L60" s="227" t="s">
        <v>77</v>
      </c>
      <c r="M60" s="438" t="s">
        <v>77</v>
      </c>
      <c r="N60" s="227" t="s">
        <v>77</v>
      </c>
      <c r="O60" s="228" t="s">
        <v>77</v>
      </c>
      <c r="P60" s="227" t="s">
        <v>77</v>
      </c>
      <c r="Q60" s="228" t="s">
        <v>77</v>
      </c>
      <c r="R60" s="227" t="s">
        <v>77</v>
      </c>
      <c r="S60" s="228" t="s">
        <v>77</v>
      </c>
      <c r="T60" s="472"/>
    </row>
    <row r="61" spans="1:20" s="42" customFormat="1" ht="3.75" customHeight="1" x14ac:dyDescent="0.2">
      <c r="A61" s="485"/>
      <c r="B61" s="395"/>
      <c r="C61" s="396"/>
      <c r="D61" s="233"/>
      <c r="E61" s="397"/>
      <c r="F61" s="235"/>
      <c r="G61" s="397"/>
      <c r="H61" s="235"/>
      <c r="I61" s="397"/>
      <c r="J61" s="485"/>
      <c r="K61" s="395"/>
      <c r="L61" s="233"/>
      <c r="M61" s="250"/>
      <c r="N61" s="233"/>
      <c r="O61" s="397"/>
      <c r="P61" s="233"/>
      <c r="Q61" s="397"/>
      <c r="R61" s="233"/>
      <c r="S61" s="397"/>
    </row>
    <row r="62" spans="1:20" s="14" customFormat="1" ht="12" customHeight="1" x14ac:dyDescent="0.2">
      <c r="A62" s="485" t="s">
        <v>199</v>
      </c>
      <c r="B62" s="52">
        <v>2011</v>
      </c>
      <c r="C62" s="56">
        <v>38660</v>
      </c>
      <c r="D62" s="54">
        <v>3960</v>
      </c>
      <c r="E62" s="57" t="s">
        <v>77</v>
      </c>
      <c r="F62" s="54">
        <v>34700</v>
      </c>
      <c r="G62" s="57" t="s">
        <v>85</v>
      </c>
      <c r="H62" s="53" t="s">
        <v>85</v>
      </c>
      <c r="I62" s="57" t="s">
        <v>85</v>
      </c>
      <c r="J62" s="485" t="s">
        <v>199</v>
      </c>
      <c r="K62" s="52">
        <v>2011</v>
      </c>
      <c r="L62" s="53" t="s">
        <v>77</v>
      </c>
      <c r="M62" s="77" t="s">
        <v>77</v>
      </c>
      <c r="N62" s="53" t="s">
        <v>77</v>
      </c>
      <c r="O62" s="53" t="s">
        <v>77</v>
      </c>
      <c r="P62" s="54">
        <v>34700</v>
      </c>
      <c r="Q62" s="77">
        <v>411</v>
      </c>
      <c r="R62" s="54">
        <v>11560</v>
      </c>
      <c r="S62" s="57">
        <v>1230</v>
      </c>
    </row>
    <row r="63" spans="1:20" s="14" customFormat="1" ht="12" customHeight="1" x14ac:dyDescent="0.2">
      <c r="A63" s="485"/>
      <c r="B63" s="52">
        <v>2012</v>
      </c>
      <c r="C63" s="56">
        <v>35200</v>
      </c>
      <c r="D63" s="54" t="s">
        <v>77</v>
      </c>
      <c r="E63" s="57" t="s">
        <v>77</v>
      </c>
      <c r="F63" s="54" t="s">
        <v>77</v>
      </c>
      <c r="G63" s="57" t="s">
        <v>85</v>
      </c>
      <c r="H63" s="53" t="s">
        <v>85</v>
      </c>
      <c r="I63" s="57" t="s">
        <v>85</v>
      </c>
      <c r="J63" s="485"/>
      <c r="K63" s="52">
        <v>2012</v>
      </c>
      <c r="L63" s="53" t="s">
        <v>77</v>
      </c>
      <c r="M63" s="77" t="s">
        <v>77</v>
      </c>
      <c r="N63" s="53" t="s">
        <v>77</v>
      </c>
      <c r="O63" s="53" t="s">
        <v>77</v>
      </c>
      <c r="P63" s="54">
        <v>31200</v>
      </c>
      <c r="Q63" s="77">
        <v>451</v>
      </c>
      <c r="R63" s="54">
        <v>10400</v>
      </c>
      <c r="S63" s="57">
        <v>1350</v>
      </c>
    </row>
    <row r="64" spans="1:20" s="14" customFormat="1" ht="12" customHeight="1" x14ac:dyDescent="0.2">
      <c r="A64" s="485"/>
      <c r="B64" s="52">
        <v>2013</v>
      </c>
      <c r="C64" s="56">
        <v>33000</v>
      </c>
      <c r="D64" s="53" t="s">
        <v>77</v>
      </c>
      <c r="E64" s="57" t="s">
        <v>77</v>
      </c>
      <c r="F64" s="53" t="s">
        <v>77</v>
      </c>
      <c r="G64" s="57" t="s">
        <v>85</v>
      </c>
      <c r="H64" s="53" t="s">
        <v>85</v>
      </c>
      <c r="I64" s="57" t="s">
        <v>85</v>
      </c>
      <c r="J64" s="485"/>
      <c r="K64" s="52">
        <v>2013</v>
      </c>
      <c r="L64" s="53" t="s">
        <v>77</v>
      </c>
      <c r="M64" s="77" t="s">
        <v>77</v>
      </c>
      <c r="N64" s="53" t="s">
        <v>77</v>
      </c>
      <c r="O64" s="53" t="s">
        <v>77</v>
      </c>
      <c r="P64" s="54">
        <v>27900</v>
      </c>
      <c r="Q64" s="77">
        <v>501</v>
      </c>
      <c r="R64" s="54">
        <v>9300</v>
      </c>
      <c r="S64" s="57">
        <v>1500</v>
      </c>
    </row>
    <row r="65" spans="1:21" s="14" customFormat="1" ht="12" customHeight="1" x14ac:dyDescent="0.2">
      <c r="A65" s="485"/>
      <c r="B65" s="52">
        <v>2014</v>
      </c>
      <c r="C65" s="56">
        <v>33400</v>
      </c>
      <c r="D65" s="53" t="s">
        <v>77</v>
      </c>
      <c r="E65" s="57" t="s">
        <v>77</v>
      </c>
      <c r="F65" s="53" t="s">
        <v>77</v>
      </c>
      <c r="G65" s="57" t="s">
        <v>85</v>
      </c>
      <c r="H65" s="53" t="s">
        <v>85</v>
      </c>
      <c r="I65" s="57" t="s">
        <v>85</v>
      </c>
      <c r="J65" s="485"/>
      <c r="K65" s="52">
        <v>2014</v>
      </c>
      <c r="L65" s="53" t="s">
        <v>77</v>
      </c>
      <c r="M65" s="77" t="s">
        <v>77</v>
      </c>
      <c r="N65" s="53" t="s">
        <v>77</v>
      </c>
      <c r="O65" s="53" t="s">
        <v>77</v>
      </c>
      <c r="P65" s="54">
        <v>28400</v>
      </c>
      <c r="Q65" s="77">
        <v>547</v>
      </c>
      <c r="R65" s="54">
        <v>9470</v>
      </c>
      <c r="S65" s="57">
        <v>1640</v>
      </c>
    </row>
    <row r="66" spans="1:21" s="14" customFormat="1" ht="12" customHeight="1" x14ac:dyDescent="0.2">
      <c r="A66" s="485"/>
      <c r="B66" s="92">
        <v>2015</v>
      </c>
      <c r="C66" s="223">
        <v>31700</v>
      </c>
      <c r="D66" s="217">
        <v>4900</v>
      </c>
      <c r="E66" s="221">
        <v>1950</v>
      </c>
      <c r="F66" s="217">
        <v>26800</v>
      </c>
      <c r="G66" s="221">
        <v>589</v>
      </c>
      <c r="H66" s="212" t="s">
        <v>85</v>
      </c>
      <c r="I66" s="221" t="s">
        <v>85</v>
      </c>
      <c r="J66" s="485"/>
      <c r="K66" s="92">
        <v>2015</v>
      </c>
      <c r="L66" s="212" t="s">
        <v>77</v>
      </c>
      <c r="M66" s="222" t="s">
        <v>77</v>
      </c>
      <c r="N66" s="212" t="s">
        <v>77</v>
      </c>
      <c r="O66" s="212" t="s">
        <v>77</v>
      </c>
      <c r="P66" s="217">
        <v>26800</v>
      </c>
      <c r="Q66" s="222">
        <v>589</v>
      </c>
      <c r="R66" s="217">
        <v>8940</v>
      </c>
      <c r="S66" s="221">
        <v>1760</v>
      </c>
    </row>
    <row r="67" spans="1:21" s="14" customFormat="1" ht="12" customHeight="1" x14ac:dyDescent="0.2">
      <c r="A67" s="485"/>
      <c r="B67" s="92">
        <v>2016</v>
      </c>
      <c r="C67" s="223">
        <v>32700</v>
      </c>
      <c r="D67" s="217">
        <v>4900</v>
      </c>
      <c r="E67" s="221">
        <v>2540</v>
      </c>
      <c r="F67" s="217">
        <v>27800</v>
      </c>
      <c r="G67" s="221">
        <v>623</v>
      </c>
      <c r="H67" s="212" t="s">
        <v>85</v>
      </c>
      <c r="I67" s="221" t="s">
        <v>85</v>
      </c>
      <c r="J67" s="487"/>
      <c r="K67" s="92">
        <v>2016</v>
      </c>
      <c r="L67" s="212" t="s">
        <v>77</v>
      </c>
      <c r="M67" s="222" t="s">
        <v>77</v>
      </c>
      <c r="N67" s="212" t="s">
        <v>77</v>
      </c>
      <c r="O67" s="212" t="s">
        <v>77</v>
      </c>
      <c r="P67" s="217">
        <v>27800</v>
      </c>
      <c r="Q67" s="222">
        <v>623</v>
      </c>
      <c r="R67" s="217">
        <v>9260</v>
      </c>
      <c r="S67" s="221">
        <v>1870</v>
      </c>
    </row>
    <row r="68" spans="1:21" s="42" customFormat="1" ht="12" customHeight="1" x14ac:dyDescent="0.2">
      <c r="A68" s="485"/>
      <c r="B68" s="92">
        <v>2017</v>
      </c>
      <c r="C68" s="223">
        <v>31200</v>
      </c>
      <c r="D68" s="217">
        <v>3900</v>
      </c>
      <c r="E68" s="221">
        <v>3840</v>
      </c>
      <c r="F68" s="217">
        <v>27300</v>
      </c>
      <c r="G68" s="221">
        <v>498</v>
      </c>
      <c r="H68" s="212" t="s">
        <v>85</v>
      </c>
      <c r="I68" s="221" t="s">
        <v>85</v>
      </c>
      <c r="J68" s="487"/>
      <c r="K68" s="92">
        <v>2017</v>
      </c>
      <c r="L68" s="212" t="s">
        <v>77</v>
      </c>
      <c r="M68" s="222" t="s">
        <v>77</v>
      </c>
      <c r="N68" s="212" t="s">
        <v>77</v>
      </c>
      <c r="O68" s="212" t="s">
        <v>77</v>
      </c>
      <c r="P68" s="217">
        <v>27300</v>
      </c>
      <c r="Q68" s="222">
        <v>498</v>
      </c>
      <c r="R68" s="217">
        <v>9100</v>
      </c>
      <c r="S68" s="221">
        <v>1490</v>
      </c>
    </row>
    <row r="69" spans="1:21" s="42" customFormat="1" ht="12" customHeight="1" x14ac:dyDescent="0.2">
      <c r="A69" s="485"/>
      <c r="B69" s="52">
        <v>2018</v>
      </c>
      <c r="C69" s="223" t="s">
        <v>77</v>
      </c>
      <c r="D69" s="53" t="s">
        <v>77</v>
      </c>
      <c r="E69" s="53" t="s">
        <v>77</v>
      </c>
      <c r="F69" s="53" t="s">
        <v>77</v>
      </c>
      <c r="G69" s="53" t="s">
        <v>77</v>
      </c>
      <c r="H69" s="53" t="s">
        <v>77</v>
      </c>
      <c r="I69" s="53" t="s">
        <v>77</v>
      </c>
      <c r="J69" s="487"/>
      <c r="K69" s="52">
        <v>2018</v>
      </c>
      <c r="L69" s="54" t="s">
        <v>77</v>
      </c>
      <c r="M69" s="54" t="s">
        <v>77</v>
      </c>
      <c r="N69" s="54" t="s">
        <v>77</v>
      </c>
      <c r="O69" s="54" t="s">
        <v>77</v>
      </c>
      <c r="P69" s="54" t="s">
        <v>77</v>
      </c>
      <c r="Q69" s="54" t="s">
        <v>77</v>
      </c>
      <c r="R69" s="54" t="s">
        <v>77</v>
      </c>
      <c r="S69" s="54" t="s">
        <v>77</v>
      </c>
    </row>
    <row r="70" spans="1:21" s="14" customFormat="1" ht="12" customHeight="1" x14ac:dyDescent="0.2">
      <c r="A70" s="485"/>
      <c r="B70" s="52">
        <v>2019</v>
      </c>
      <c r="C70" s="223" t="s">
        <v>77</v>
      </c>
      <c r="D70" s="53" t="s">
        <v>77</v>
      </c>
      <c r="E70" s="53" t="s">
        <v>77</v>
      </c>
      <c r="F70" s="53" t="s">
        <v>77</v>
      </c>
      <c r="G70" s="53" t="s">
        <v>77</v>
      </c>
      <c r="H70" s="53" t="s">
        <v>77</v>
      </c>
      <c r="I70" s="53" t="s">
        <v>77</v>
      </c>
      <c r="J70" s="485"/>
      <c r="K70" s="52">
        <v>2019</v>
      </c>
      <c r="L70" s="54" t="s">
        <v>77</v>
      </c>
      <c r="M70" s="54" t="s">
        <v>77</v>
      </c>
      <c r="N70" s="54" t="s">
        <v>77</v>
      </c>
      <c r="O70" s="54" t="s">
        <v>77</v>
      </c>
      <c r="P70" s="54" t="s">
        <v>77</v>
      </c>
      <c r="Q70" s="54" t="s">
        <v>77</v>
      </c>
      <c r="R70" s="54" t="s">
        <v>77</v>
      </c>
      <c r="S70" s="54" t="s">
        <v>77</v>
      </c>
    </row>
    <row r="71" spans="1:21" s="42" customFormat="1" ht="12" customHeight="1" x14ac:dyDescent="0.2">
      <c r="A71" s="485"/>
      <c r="B71" s="52">
        <v>2020</v>
      </c>
      <c r="C71" s="223" t="s">
        <v>77</v>
      </c>
      <c r="D71" s="53" t="s">
        <v>77</v>
      </c>
      <c r="E71" s="53" t="s">
        <v>77</v>
      </c>
      <c r="F71" s="53" t="s">
        <v>77</v>
      </c>
      <c r="G71" s="53" t="s">
        <v>77</v>
      </c>
      <c r="H71" s="53" t="s">
        <v>77</v>
      </c>
      <c r="I71" s="53" t="s">
        <v>77</v>
      </c>
      <c r="J71" s="485"/>
      <c r="K71" s="52">
        <v>2020</v>
      </c>
      <c r="L71" s="54" t="s">
        <v>77</v>
      </c>
      <c r="M71" s="54" t="s">
        <v>77</v>
      </c>
      <c r="N71" s="54" t="s">
        <v>77</v>
      </c>
      <c r="O71" s="54" t="s">
        <v>77</v>
      </c>
      <c r="P71" s="54" t="s">
        <v>77</v>
      </c>
      <c r="Q71" s="54" t="s">
        <v>77</v>
      </c>
      <c r="R71" s="54" t="s">
        <v>77</v>
      </c>
      <c r="S71" s="54" t="s">
        <v>77</v>
      </c>
      <c r="T71" s="472"/>
    </row>
    <row r="72" spans="1:21" s="42" customFormat="1" ht="12" customHeight="1" x14ac:dyDescent="0.2">
      <c r="A72" s="485"/>
      <c r="B72" s="52"/>
      <c r="C72" s="56"/>
      <c r="D72" s="53"/>
      <c r="E72" s="53"/>
      <c r="F72" s="53"/>
      <c r="G72" s="53"/>
      <c r="H72" s="53"/>
      <c r="I72" s="53"/>
      <c r="J72" s="485"/>
      <c r="K72" s="52"/>
      <c r="L72" s="54"/>
      <c r="M72" s="54"/>
      <c r="N72" s="54"/>
      <c r="O72" s="54"/>
      <c r="P72" s="54"/>
      <c r="Q72" s="54"/>
      <c r="R72" s="54"/>
      <c r="S72" s="54"/>
    </row>
    <row r="73" spans="1:21" s="14" customFormat="1" ht="12" customHeight="1" x14ac:dyDescent="0.2">
      <c r="A73" s="485" t="s">
        <v>191</v>
      </c>
      <c r="B73" s="52">
        <v>2011</v>
      </c>
      <c r="C73" s="58">
        <v>2263000</v>
      </c>
      <c r="D73" s="54">
        <v>104000</v>
      </c>
      <c r="E73" s="57">
        <v>1290</v>
      </c>
      <c r="F73" s="54">
        <v>2159000</v>
      </c>
      <c r="G73" s="57">
        <v>338</v>
      </c>
      <c r="H73" s="54">
        <v>25000</v>
      </c>
      <c r="I73" s="57">
        <v>355</v>
      </c>
      <c r="J73" s="485" t="s">
        <v>191</v>
      </c>
      <c r="K73" s="52">
        <v>2011</v>
      </c>
      <c r="L73" s="54">
        <v>373000</v>
      </c>
      <c r="M73" s="77">
        <v>265</v>
      </c>
      <c r="N73" s="53" t="s">
        <v>77</v>
      </c>
      <c r="O73" s="53" t="s">
        <v>77</v>
      </c>
      <c r="P73" s="54">
        <v>1761000</v>
      </c>
      <c r="Q73" s="77">
        <v>353</v>
      </c>
      <c r="R73" s="54">
        <v>374600</v>
      </c>
      <c r="S73" s="57">
        <v>1660</v>
      </c>
    </row>
    <row r="74" spans="1:21" s="14" customFormat="1" ht="12" customHeight="1" x14ac:dyDescent="0.2">
      <c r="A74" s="485"/>
      <c r="B74" s="52">
        <v>2012</v>
      </c>
      <c r="C74" s="56">
        <v>1810000</v>
      </c>
      <c r="D74" s="54">
        <v>76000</v>
      </c>
      <c r="E74" s="57">
        <v>1330</v>
      </c>
      <c r="F74" s="54">
        <v>1734000</v>
      </c>
      <c r="G74" s="57">
        <v>418</v>
      </c>
      <c r="H74" s="54">
        <v>20000</v>
      </c>
      <c r="I74" s="57">
        <v>400</v>
      </c>
      <c r="J74" s="485"/>
      <c r="K74" s="52">
        <v>2012</v>
      </c>
      <c r="L74" s="54">
        <v>270000</v>
      </c>
      <c r="M74" s="77">
        <v>319</v>
      </c>
      <c r="N74" s="53" t="s">
        <v>77</v>
      </c>
      <c r="O74" s="53" t="s">
        <v>77</v>
      </c>
      <c r="P74" s="54">
        <v>1444000</v>
      </c>
      <c r="Q74" s="77">
        <v>437</v>
      </c>
      <c r="R74" s="54">
        <v>335700</v>
      </c>
      <c r="S74" s="57">
        <v>1880</v>
      </c>
    </row>
    <row r="75" spans="1:21" s="14" customFormat="1" ht="12" customHeight="1" x14ac:dyDescent="0.2">
      <c r="A75" s="485"/>
      <c r="B75" s="92">
        <v>2013</v>
      </c>
      <c r="C75" s="56">
        <v>2270000</v>
      </c>
      <c r="D75" s="54">
        <v>65000</v>
      </c>
      <c r="E75" s="57">
        <v>1390</v>
      </c>
      <c r="F75" s="54">
        <v>2205000</v>
      </c>
      <c r="G75" s="57">
        <v>334</v>
      </c>
      <c r="H75" s="54">
        <v>22000</v>
      </c>
      <c r="I75" s="57">
        <v>435</v>
      </c>
      <c r="J75" s="485"/>
      <c r="K75" s="52">
        <v>2013</v>
      </c>
      <c r="L75" s="54">
        <v>328000</v>
      </c>
      <c r="M75" s="77">
        <v>255</v>
      </c>
      <c r="N75" s="53" t="s">
        <v>77</v>
      </c>
      <c r="O75" s="53" t="s">
        <v>77</v>
      </c>
      <c r="P75" s="54">
        <v>1855000</v>
      </c>
      <c r="Q75" s="77">
        <v>347</v>
      </c>
      <c r="R75" s="54">
        <v>394700</v>
      </c>
      <c r="S75" s="57">
        <v>1630</v>
      </c>
    </row>
    <row r="76" spans="1:21" s="14" customFormat="1" ht="12" customHeight="1" x14ac:dyDescent="0.2">
      <c r="A76" s="485"/>
      <c r="B76" s="52">
        <v>2014</v>
      </c>
      <c r="C76" s="56">
        <v>1874000</v>
      </c>
      <c r="D76" s="54">
        <v>43000</v>
      </c>
      <c r="E76" s="57">
        <v>1520</v>
      </c>
      <c r="F76" s="54">
        <v>1831000</v>
      </c>
      <c r="G76" s="57">
        <v>354</v>
      </c>
      <c r="H76" s="54">
        <v>21000</v>
      </c>
      <c r="I76" s="57">
        <v>475</v>
      </c>
      <c r="J76" s="485"/>
      <c r="K76" s="52">
        <v>2014</v>
      </c>
      <c r="L76" s="54">
        <v>156000</v>
      </c>
      <c r="M76" s="77">
        <v>233</v>
      </c>
      <c r="N76" s="53" t="s">
        <v>77</v>
      </c>
      <c r="O76" s="53" t="s">
        <v>77</v>
      </c>
      <c r="P76" s="54">
        <v>1654000</v>
      </c>
      <c r="Q76" s="77">
        <v>364</v>
      </c>
      <c r="R76" s="54">
        <v>351900</v>
      </c>
      <c r="S76" s="57">
        <v>1710</v>
      </c>
      <c r="U76" s="42"/>
    </row>
    <row r="77" spans="1:21" s="14" customFormat="1" ht="12" customHeight="1" x14ac:dyDescent="0.2">
      <c r="A77" s="485"/>
      <c r="B77" s="92">
        <v>2015</v>
      </c>
      <c r="C77" s="223">
        <v>1952000</v>
      </c>
      <c r="D77" s="217">
        <v>35000</v>
      </c>
      <c r="E77" s="221">
        <v>1700</v>
      </c>
      <c r="F77" s="217">
        <v>1917000</v>
      </c>
      <c r="G77" s="221">
        <v>325</v>
      </c>
      <c r="H77" s="217">
        <v>22000</v>
      </c>
      <c r="I77" s="221">
        <v>575</v>
      </c>
      <c r="J77" s="485"/>
      <c r="K77" s="92">
        <v>2015</v>
      </c>
      <c r="L77" s="217">
        <v>92000</v>
      </c>
      <c r="M77" s="222">
        <v>217</v>
      </c>
      <c r="N77" s="212" t="s">
        <v>77</v>
      </c>
      <c r="O77" s="212" t="s">
        <v>77</v>
      </c>
      <c r="P77" s="217">
        <v>1803000</v>
      </c>
      <c r="Q77" s="222">
        <v>327</v>
      </c>
      <c r="R77" s="217">
        <v>375700</v>
      </c>
      <c r="S77" s="221">
        <v>1570</v>
      </c>
      <c r="U77" s="42"/>
    </row>
    <row r="78" spans="1:21" s="14" customFormat="1" ht="12" customHeight="1" x14ac:dyDescent="0.2">
      <c r="A78" s="485"/>
      <c r="B78" s="92">
        <v>2016</v>
      </c>
      <c r="C78" s="223">
        <v>1570000</v>
      </c>
      <c r="D78" s="217">
        <v>29000</v>
      </c>
      <c r="E78" s="221">
        <v>1500</v>
      </c>
      <c r="F78" s="217">
        <v>1541000</v>
      </c>
      <c r="G78" s="221">
        <v>254</v>
      </c>
      <c r="H78" s="217">
        <v>19000</v>
      </c>
      <c r="I78" s="221">
        <v>611</v>
      </c>
      <c r="J78" s="485"/>
      <c r="K78" s="92">
        <v>2016</v>
      </c>
      <c r="L78" s="217">
        <v>91000</v>
      </c>
      <c r="M78" s="222">
        <v>208</v>
      </c>
      <c r="N78" s="212" t="s">
        <v>77</v>
      </c>
      <c r="O78" s="212" t="s">
        <v>77</v>
      </c>
      <c r="P78" s="217">
        <v>1431000</v>
      </c>
      <c r="Q78" s="222">
        <v>252</v>
      </c>
      <c r="R78" s="217">
        <v>325200</v>
      </c>
      <c r="S78" s="221">
        <v>1110</v>
      </c>
      <c r="U78" s="42"/>
    </row>
    <row r="79" spans="1:21" s="42" customFormat="1" ht="12" customHeight="1" x14ac:dyDescent="0.2">
      <c r="A79" s="485"/>
      <c r="B79" s="92">
        <v>2017</v>
      </c>
      <c r="C79" s="223">
        <v>1301000</v>
      </c>
      <c r="D79" s="217">
        <v>16000</v>
      </c>
      <c r="E79" s="221">
        <v>1530</v>
      </c>
      <c r="F79" s="217">
        <v>1285000</v>
      </c>
      <c r="G79" s="221">
        <v>400</v>
      </c>
      <c r="H79" s="217">
        <v>16000</v>
      </c>
      <c r="I79" s="221">
        <v>601</v>
      </c>
      <c r="J79" s="487"/>
      <c r="K79" s="92">
        <v>2017</v>
      </c>
      <c r="L79" s="217">
        <v>95000</v>
      </c>
      <c r="M79" s="222">
        <v>252</v>
      </c>
      <c r="N79" s="212" t="s">
        <v>77</v>
      </c>
      <c r="O79" s="212" t="s">
        <v>77</v>
      </c>
      <c r="P79" s="217">
        <v>1174000</v>
      </c>
      <c r="Q79" s="222">
        <v>409</v>
      </c>
      <c r="R79" s="217">
        <v>260900</v>
      </c>
      <c r="S79" s="221">
        <v>1840</v>
      </c>
    </row>
    <row r="80" spans="1:21" s="42" customFormat="1" ht="12" customHeight="1" x14ac:dyDescent="0.2">
      <c r="A80" s="485"/>
      <c r="B80" s="52">
        <v>2018</v>
      </c>
      <c r="C80" s="223">
        <f>10800+1534200</f>
        <v>1545000</v>
      </c>
      <c r="D80" s="217">
        <v>10800</v>
      </c>
      <c r="E80" s="221">
        <v>1120</v>
      </c>
      <c r="F80" s="217">
        <v>1534200</v>
      </c>
      <c r="G80" s="221">
        <v>423</v>
      </c>
      <c r="H80" s="212" t="s">
        <v>77</v>
      </c>
      <c r="I80" s="221" t="s">
        <v>77</v>
      </c>
      <c r="J80" s="487"/>
      <c r="K80" s="92">
        <v>2018</v>
      </c>
      <c r="L80" s="217" t="s">
        <v>77</v>
      </c>
      <c r="M80" s="222" t="s">
        <v>77</v>
      </c>
      <c r="N80" s="212" t="s">
        <v>77</v>
      </c>
      <c r="O80" s="212" t="s">
        <v>77</v>
      </c>
      <c r="P80" s="217" t="s">
        <v>77</v>
      </c>
      <c r="Q80" s="222" t="s">
        <v>77</v>
      </c>
      <c r="R80" s="217" t="s">
        <v>77</v>
      </c>
      <c r="S80" s="221" t="s">
        <v>77</v>
      </c>
      <c r="T80" s="41"/>
    </row>
    <row r="81" spans="1:22" s="14" customFormat="1" ht="12" customHeight="1" x14ac:dyDescent="0.2">
      <c r="A81" s="485"/>
      <c r="B81" s="52">
        <v>2019</v>
      </c>
      <c r="C81" s="223">
        <f>5500+1374500</f>
        <v>1380000</v>
      </c>
      <c r="D81" s="217">
        <v>5500</v>
      </c>
      <c r="E81" s="221">
        <v>1180</v>
      </c>
      <c r="F81" s="217">
        <v>1374500</v>
      </c>
      <c r="G81" s="221">
        <v>262</v>
      </c>
      <c r="H81" s="212" t="s">
        <v>77</v>
      </c>
      <c r="I81" s="221" t="s">
        <v>77</v>
      </c>
      <c r="J81" s="487"/>
      <c r="K81" s="92">
        <v>2019</v>
      </c>
      <c r="L81" s="217" t="s">
        <v>77</v>
      </c>
      <c r="M81" s="222" t="s">
        <v>77</v>
      </c>
      <c r="N81" s="212" t="s">
        <v>77</v>
      </c>
      <c r="O81" s="212" t="s">
        <v>77</v>
      </c>
      <c r="P81" s="217" t="s">
        <v>77</v>
      </c>
      <c r="Q81" s="222" t="s">
        <v>77</v>
      </c>
      <c r="R81" s="217" t="s">
        <v>77</v>
      </c>
      <c r="S81" s="221" t="s">
        <v>77</v>
      </c>
    </row>
    <row r="82" spans="1:22" s="42" customFormat="1" ht="12" customHeight="1" x14ac:dyDescent="0.2">
      <c r="A82" s="485"/>
      <c r="B82" s="52">
        <v>2020</v>
      </c>
      <c r="C82" s="223">
        <f>3300+1086700</f>
        <v>1090000</v>
      </c>
      <c r="D82" s="217">
        <v>3300</v>
      </c>
      <c r="E82" s="221">
        <v>1500</v>
      </c>
      <c r="F82" s="217">
        <v>1086700</v>
      </c>
      <c r="G82" s="221">
        <v>272</v>
      </c>
      <c r="H82" s="212" t="s">
        <v>77</v>
      </c>
      <c r="I82" s="221" t="s">
        <v>77</v>
      </c>
      <c r="J82" s="487"/>
      <c r="K82" s="92">
        <v>2020</v>
      </c>
      <c r="L82" s="217" t="s">
        <v>77</v>
      </c>
      <c r="M82" s="222" t="s">
        <v>77</v>
      </c>
      <c r="N82" s="212" t="s">
        <v>77</v>
      </c>
      <c r="O82" s="212" t="s">
        <v>77</v>
      </c>
      <c r="P82" s="217" t="s">
        <v>77</v>
      </c>
      <c r="Q82" s="222" t="s">
        <v>77</v>
      </c>
      <c r="R82" s="217" t="s">
        <v>77</v>
      </c>
      <c r="S82" s="221" t="s">
        <v>77</v>
      </c>
      <c r="T82" s="472"/>
    </row>
    <row r="83" spans="1:22" s="42" customFormat="1" ht="12" customHeight="1" x14ac:dyDescent="0.2">
      <c r="A83" s="485"/>
      <c r="B83" s="52"/>
      <c r="C83" s="223"/>
      <c r="D83" s="217"/>
      <c r="E83" s="221"/>
      <c r="F83" s="217"/>
      <c r="G83" s="221"/>
      <c r="H83" s="212"/>
      <c r="I83" s="221"/>
      <c r="J83" s="487"/>
      <c r="K83" s="92"/>
      <c r="L83" s="217"/>
      <c r="M83" s="222"/>
      <c r="N83" s="212"/>
      <c r="O83" s="212"/>
      <c r="P83" s="217"/>
      <c r="Q83" s="222"/>
      <c r="R83" s="217"/>
      <c r="S83" s="221"/>
    </row>
    <row r="84" spans="1:22" s="14" customFormat="1" ht="12" customHeight="1" x14ac:dyDescent="0.2">
      <c r="A84" s="485" t="s">
        <v>62</v>
      </c>
      <c r="B84" s="52">
        <v>2011</v>
      </c>
      <c r="C84" s="56">
        <v>1032000</v>
      </c>
      <c r="D84" s="54">
        <v>831000</v>
      </c>
      <c r="E84" s="57">
        <v>947</v>
      </c>
      <c r="F84" s="54">
        <v>201000</v>
      </c>
      <c r="G84" s="57">
        <v>239</v>
      </c>
      <c r="H84" s="53" t="s">
        <v>77</v>
      </c>
      <c r="I84" s="57" t="s">
        <v>77</v>
      </c>
      <c r="J84" s="485" t="s">
        <v>62</v>
      </c>
      <c r="K84" s="52">
        <v>2011</v>
      </c>
      <c r="L84" s="54">
        <v>155000</v>
      </c>
      <c r="M84" s="77">
        <v>219</v>
      </c>
      <c r="N84" s="53" t="s">
        <v>77</v>
      </c>
      <c r="O84" s="53" t="s">
        <v>77</v>
      </c>
      <c r="P84" s="54">
        <v>46000</v>
      </c>
      <c r="Q84" s="222">
        <v>306</v>
      </c>
      <c r="R84" s="217">
        <v>9700</v>
      </c>
      <c r="S84" s="221">
        <v>1450</v>
      </c>
    </row>
    <row r="85" spans="1:22" s="14" customFormat="1" ht="12" customHeight="1" x14ac:dyDescent="0.2">
      <c r="A85" s="485"/>
      <c r="B85" s="52">
        <v>2012</v>
      </c>
      <c r="C85" s="56">
        <v>1024000</v>
      </c>
      <c r="D85" s="54">
        <v>881000</v>
      </c>
      <c r="E85" s="57">
        <v>1370</v>
      </c>
      <c r="F85" s="54">
        <v>143000</v>
      </c>
      <c r="G85" s="57">
        <v>306</v>
      </c>
      <c r="H85" s="53" t="s">
        <v>77</v>
      </c>
      <c r="I85" s="57" t="s">
        <v>77</v>
      </c>
      <c r="J85" s="485"/>
      <c r="K85" s="52">
        <v>2012</v>
      </c>
      <c r="L85" s="54">
        <v>99000</v>
      </c>
      <c r="M85" s="77">
        <v>272</v>
      </c>
      <c r="N85" s="53" t="s">
        <v>77</v>
      </c>
      <c r="O85" s="53" t="s">
        <v>77</v>
      </c>
      <c r="P85" s="54">
        <v>44000</v>
      </c>
      <c r="Q85" s="222">
        <v>383</v>
      </c>
      <c r="R85" s="217">
        <v>10200</v>
      </c>
      <c r="S85" s="221">
        <v>1650</v>
      </c>
    </row>
    <row r="86" spans="1:22" s="14" customFormat="1" ht="12" customHeight="1" x14ac:dyDescent="0.2">
      <c r="A86" s="485"/>
      <c r="B86" s="92">
        <v>2013</v>
      </c>
      <c r="C86" s="56">
        <v>1227000</v>
      </c>
      <c r="D86" s="54">
        <v>1046000</v>
      </c>
      <c r="E86" s="57">
        <v>1430</v>
      </c>
      <c r="F86" s="54">
        <v>181000</v>
      </c>
      <c r="G86" s="57">
        <v>257</v>
      </c>
      <c r="H86" s="53" t="s">
        <v>77</v>
      </c>
      <c r="I86" s="57" t="s">
        <v>77</v>
      </c>
      <c r="J86" s="485"/>
      <c r="K86" s="52">
        <v>2013</v>
      </c>
      <c r="L86" s="54">
        <v>127000</v>
      </c>
      <c r="M86" s="77">
        <v>222</v>
      </c>
      <c r="N86" s="53" t="s">
        <v>77</v>
      </c>
      <c r="O86" s="53" t="s">
        <v>77</v>
      </c>
      <c r="P86" s="54">
        <v>54000</v>
      </c>
      <c r="Q86" s="222">
        <v>340</v>
      </c>
      <c r="R86" s="217">
        <v>11400</v>
      </c>
      <c r="S86" s="221">
        <v>1610</v>
      </c>
      <c r="U86" s="27"/>
      <c r="V86" s="27"/>
    </row>
    <row r="87" spans="1:22" s="14" customFormat="1" ht="12" customHeight="1" x14ac:dyDescent="0.2">
      <c r="A87" s="485"/>
      <c r="B87" s="52">
        <v>2014</v>
      </c>
      <c r="C87" s="56">
        <v>1165000</v>
      </c>
      <c r="D87" s="54">
        <v>1003000</v>
      </c>
      <c r="E87" s="57">
        <v>1520</v>
      </c>
      <c r="F87" s="54">
        <v>162000</v>
      </c>
      <c r="G87" s="57">
        <v>280</v>
      </c>
      <c r="H87" s="53" t="s">
        <v>77</v>
      </c>
      <c r="I87" s="57" t="s">
        <v>77</v>
      </c>
      <c r="J87" s="485"/>
      <c r="K87" s="52">
        <v>2014</v>
      </c>
      <c r="L87" s="54">
        <v>95000</v>
      </c>
      <c r="M87" s="77">
        <v>234</v>
      </c>
      <c r="N87" s="53" t="s">
        <v>77</v>
      </c>
      <c r="O87" s="53" t="s">
        <v>77</v>
      </c>
      <c r="P87" s="54">
        <v>67000</v>
      </c>
      <c r="Q87" s="222">
        <v>346</v>
      </c>
      <c r="R87" s="217">
        <v>14300</v>
      </c>
      <c r="S87" s="221">
        <v>1620</v>
      </c>
      <c r="U87" s="27"/>
      <c r="V87" s="27"/>
    </row>
    <row r="88" spans="1:22" s="14" customFormat="1" ht="12" customHeight="1" x14ac:dyDescent="0.2">
      <c r="A88" s="485"/>
      <c r="B88" s="92">
        <v>2015</v>
      </c>
      <c r="C88" s="223">
        <v>1135000</v>
      </c>
      <c r="D88" s="217">
        <v>1003000</v>
      </c>
      <c r="E88" s="221">
        <v>1700</v>
      </c>
      <c r="F88" s="217">
        <v>132000</v>
      </c>
      <c r="G88" s="221">
        <v>225</v>
      </c>
      <c r="H88" s="212" t="s">
        <v>77</v>
      </c>
      <c r="I88" s="221" t="s">
        <v>77</v>
      </c>
      <c r="J88" s="485"/>
      <c r="K88" s="92">
        <v>2015</v>
      </c>
      <c r="L88" s="217">
        <v>71000</v>
      </c>
      <c r="M88" s="222">
        <v>165</v>
      </c>
      <c r="N88" s="212" t="s">
        <v>77</v>
      </c>
      <c r="O88" s="212" t="s">
        <v>77</v>
      </c>
      <c r="P88" s="217">
        <v>61000</v>
      </c>
      <c r="Q88" s="222">
        <v>294</v>
      </c>
      <c r="R88" s="217">
        <v>12800</v>
      </c>
      <c r="S88" s="221">
        <v>1400</v>
      </c>
      <c r="U88" s="27"/>
    </row>
    <row r="89" spans="1:22" s="14" customFormat="1" ht="12" customHeight="1" x14ac:dyDescent="0.2">
      <c r="A89" s="485"/>
      <c r="B89" s="92">
        <v>2016</v>
      </c>
      <c r="C89" s="223">
        <v>1150000</v>
      </c>
      <c r="D89" s="217">
        <v>1007000</v>
      </c>
      <c r="E89" s="221">
        <v>1500</v>
      </c>
      <c r="F89" s="217">
        <v>143000</v>
      </c>
      <c r="G89" s="221">
        <v>184</v>
      </c>
      <c r="H89" s="212" t="s">
        <v>77</v>
      </c>
      <c r="I89" s="221" t="s">
        <v>77</v>
      </c>
      <c r="J89" s="485"/>
      <c r="K89" s="92">
        <v>2016</v>
      </c>
      <c r="L89" s="217">
        <v>96000</v>
      </c>
      <c r="M89" s="222">
        <v>151</v>
      </c>
      <c r="N89" s="212" t="s">
        <v>77</v>
      </c>
      <c r="O89" s="212" t="s">
        <v>77</v>
      </c>
      <c r="P89" s="217">
        <v>47000</v>
      </c>
      <c r="Q89" s="222">
        <v>253</v>
      </c>
      <c r="R89" s="217">
        <v>10700</v>
      </c>
      <c r="S89" s="221">
        <v>1110</v>
      </c>
      <c r="U89" s="42"/>
    </row>
    <row r="90" spans="1:22" s="42" customFormat="1" ht="12" customHeight="1" x14ac:dyDescent="0.2">
      <c r="A90" s="485"/>
      <c r="B90" s="92">
        <v>2017</v>
      </c>
      <c r="C90" s="223">
        <v>1190000</v>
      </c>
      <c r="D90" s="217">
        <v>1011000</v>
      </c>
      <c r="E90" s="221">
        <v>1530</v>
      </c>
      <c r="F90" s="217">
        <v>179000</v>
      </c>
      <c r="G90" s="221">
        <v>225</v>
      </c>
      <c r="H90" s="212" t="s">
        <v>77</v>
      </c>
      <c r="I90" s="221" t="s">
        <v>77</v>
      </c>
      <c r="J90" s="485"/>
      <c r="K90" s="92">
        <v>2017</v>
      </c>
      <c r="L90" s="217">
        <v>132000</v>
      </c>
      <c r="M90" s="222">
        <v>177</v>
      </c>
      <c r="N90" s="212" t="s">
        <v>77</v>
      </c>
      <c r="O90" s="212" t="s">
        <v>77</v>
      </c>
      <c r="P90" s="217">
        <v>47000</v>
      </c>
      <c r="Q90" s="222">
        <v>358</v>
      </c>
      <c r="R90" s="217">
        <v>10400</v>
      </c>
      <c r="S90" s="221">
        <v>1620</v>
      </c>
    </row>
    <row r="91" spans="1:22" s="42" customFormat="1" ht="12" customHeight="1" x14ac:dyDescent="0.2">
      <c r="A91" s="485"/>
      <c r="B91" s="52">
        <v>2018</v>
      </c>
      <c r="C91" s="223">
        <v>1300000</v>
      </c>
      <c r="D91" s="217">
        <v>1088100</v>
      </c>
      <c r="E91" s="221">
        <v>1120</v>
      </c>
      <c r="F91" s="217">
        <v>211900</v>
      </c>
      <c r="G91" s="221">
        <v>249</v>
      </c>
      <c r="H91" s="212" t="s">
        <v>77</v>
      </c>
      <c r="I91" s="221" t="s">
        <v>77</v>
      </c>
      <c r="J91" s="487"/>
      <c r="K91" s="92">
        <v>2018</v>
      </c>
      <c r="L91" s="217" t="s">
        <v>77</v>
      </c>
      <c r="M91" s="222" t="s">
        <v>77</v>
      </c>
      <c r="N91" s="212" t="s">
        <v>77</v>
      </c>
      <c r="O91" s="212" t="s">
        <v>77</v>
      </c>
      <c r="P91" s="212" t="s">
        <v>77</v>
      </c>
      <c r="Q91" s="212" t="s">
        <v>77</v>
      </c>
      <c r="R91" s="212" t="s">
        <v>77</v>
      </c>
      <c r="S91" s="212" t="s">
        <v>77</v>
      </c>
    </row>
    <row r="92" spans="1:22" s="14" customFormat="1" ht="12" customHeight="1" x14ac:dyDescent="0.2">
      <c r="A92" s="485"/>
      <c r="B92" s="52">
        <v>2019</v>
      </c>
      <c r="C92" s="223">
        <f>992500+197500</f>
        <v>1190000</v>
      </c>
      <c r="D92" s="217">
        <v>992400</v>
      </c>
      <c r="E92" s="221">
        <v>1180</v>
      </c>
      <c r="F92" s="217">
        <v>197500</v>
      </c>
      <c r="G92" s="221">
        <v>254</v>
      </c>
      <c r="H92" s="212" t="s">
        <v>77</v>
      </c>
      <c r="I92" s="221" t="s">
        <v>77</v>
      </c>
      <c r="J92" s="487"/>
      <c r="K92" s="92">
        <v>2019</v>
      </c>
      <c r="L92" s="217" t="s">
        <v>77</v>
      </c>
      <c r="M92" s="222" t="s">
        <v>77</v>
      </c>
      <c r="N92" s="212" t="s">
        <v>77</v>
      </c>
      <c r="O92" s="212" t="s">
        <v>77</v>
      </c>
      <c r="P92" s="212" t="s">
        <v>77</v>
      </c>
      <c r="Q92" s="212" t="s">
        <v>77</v>
      </c>
      <c r="R92" s="212" t="s">
        <v>77</v>
      </c>
      <c r="S92" s="212" t="s">
        <v>77</v>
      </c>
    </row>
    <row r="93" spans="1:22" s="42" customFormat="1" ht="12" customHeight="1" x14ac:dyDescent="0.2">
      <c r="A93" s="485"/>
      <c r="B93" s="52">
        <v>2020</v>
      </c>
      <c r="C93" s="223">
        <f>956800+153200</f>
        <v>1110000</v>
      </c>
      <c r="D93" s="217">
        <v>956800</v>
      </c>
      <c r="E93" s="221">
        <v>1500</v>
      </c>
      <c r="F93" s="217">
        <v>153200</v>
      </c>
      <c r="G93" s="221">
        <v>200</v>
      </c>
      <c r="H93" s="212" t="s">
        <v>77</v>
      </c>
      <c r="I93" s="221" t="s">
        <v>77</v>
      </c>
      <c r="J93" s="487"/>
      <c r="K93" s="92">
        <v>2020</v>
      </c>
      <c r="L93" s="217" t="s">
        <v>77</v>
      </c>
      <c r="M93" s="222" t="s">
        <v>77</v>
      </c>
      <c r="N93" s="212" t="s">
        <v>77</v>
      </c>
      <c r="O93" s="212" t="s">
        <v>77</v>
      </c>
      <c r="P93" s="212" t="s">
        <v>77</v>
      </c>
      <c r="Q93" s="212" t="s">
        <v>77</v>
      </c>
      <c r="R93" s="212" t="s">
        <v>77</v>
      </c>
      <c r="S93" s="212" t="s">
        <v>77</v>
      </c>
      <c r="T93" s="472"/>
    </row>
    <row r="94" spans="1:22" s="42" customFormat="1" ht="12" customHeight="1" x14ac:dyDescent="0.2">
      <c r="A94" s="485"/>
      <c r="B94" s="52"/>
      <c r="C94" s="223"/>
      <c r="D94" s="217"/>
      <c r="E94" s="221"/>
      <c r="F94" s="217"/>
      <c r="G94" s="221"/>
      <c r="H94" s="212"/>
      <c r="I94" s="221"/>
      <c r="J94" s="485"/>
      <c r="K94" s="52"/>
      <c r="L94" s="217"/>
      <c r="M94" s="222"/>
      <c r="N94" s="212"/>
      <c r="O94" s="212"/>
      <c r="P94" s="212"/>
      <c r="Q94" s="212"/>
      <c r="R94" s="212"/>
      <c r="S94" s="212"/>
    </row>
    <row r="95" spans="1:22" s="14" customFormat="1" ht="12" customHeight="1" x14ac:dyDescent="0.2">
      <c r="A95" s="485" t="s">
        <v>61</v>
      </c>
      <c r="B95" s="52">
        <v>2011</v>
      </c>
      <c r="C95" s="223">
        <v>3347000</v>
      </c>
      <c r="D95" s="212" t="s">
        <v>77</v>
      </c>
      <c r="E95" s="221" t="s">
        <v>77</v>
      </c>
      <c r="F95" s="217">
        <v>3347000</v>
      </c>
      <c r="G95" s="221">
        <v>637</v>
      </c>
      <c r="H95" s="206" t="s">
        <v>77</v>
      </c>
      <c r="I95" s="221" t="s">
        <v>77</v>
      </c>
      <c r="J95" s="485" t="s">
        <v>61</v>
      </c>
      <c r="K95" s="52">
        <v>2011</v>
      </c>
      <c r="L95" s="217">
        <v>3347000</v>
      </c>
      <c r="M95" s="222">
        <v>637</v>
      </c>
      <c r="N95" s="212" t="s">
        <v>77</v>
      </c>
      <c r="O95" s="212" t="s">
        <v>77</v>
      </c>
      <c r="P95" s="212" t="s">
        <v>77</v>
      </c>
      <c r="Q95" s="212" t="s">
        <v>77</v>
      </c>
      <c r="R95" s="212" t="s">
        <v>77</v>
      </c>
      <c r="S95" s="212" t="s">
        <v>77</v>
      </c>
      <c r="U95" s="27"/>
      <c r="V95" s="27"/>
    </row>
    <row r="96" spans="1:22" s="14" customFormat="1" ht="12" customHeight="1" x14ac:dyDescent="0.2">
      <c r="A96" s="485"/>
      <c r="B96" s="52">
        <v>2012</v>
      </c>
      <c r="C96" s="223">
        <v>4018000</v>
      </c>
      <c r="D96" s="212" t="s">
        <v>77</v>
      </c>
      <c r="E96" s="221" t="s">
        <v>77</v>
      </c>
      <c r="F96" s="217">
        <v>4018000</v>
      </c>
      <c r="G96" s="221">
        <v>773</v>
      </c>
      <c r="H96" s="206" t="s">
        <v>77</v>
      </c>
      <c r="I96" s="221" t="s">
        <v>77</v>
      </c>
      <c r="J96" s="485"/>
      <c r="K96" s="52">
        <v>2012</v>
      </c>
      <c r="L96" s="217">
        <v>4018000</v>
      </c>
      <c r="M96" s="222">
        <v>773</v>
      </c>
      <c r="N96" s="212" t="s">
        <v>77</v>
      </c>
      <c r="O96" s="212" t="s">
        <v>77</v>
      </c>
      <c r="P96" s="212" t="s">
        <v>77</v>
      </c>
      <c r="Q96" s="212" t="s">
        <v>77</v>
      </c>
      <c r="R96" s="212" t="s">
        <v>77</v>
      </c>
      <c r="S96" s="212" t="s">
        <v>77</v>
      </c>
      <c r="U96" s="27"/>
      <c r="V96" s="27"/>
    </row>
    <row r="97" spans="1:21" s="14" customFormat="1" ht="12" customHeight="1" x14ac:dyDescent="0.2">
      <c r="A97" s="485"/>
      <c r="B97" s="92">
        <v>2013</v>
      </c>
      <c r="C97" s="223">
        <v>4245000</v>
      </c>
      <c r="D97" s="212" t="s">
        <v>77</v>
      </c>
      <c r="E97" s="221" t="s">
        <v>77</v>
      </c>
      <c r="F97" s="217">
        <v>4245000</v>
      </c>
      <c r="G97" s="221">
        <v>753</v>
      </c>
      <c r="H97" s="206" t="s">
        <v>77</v>
      </c>
      <c r="I97" s="221" t="s">
        <v>77</v>
      </c>
      <c r="J97" s="485"/>
      <c r="K97" s="52">
        <v>2013</v>
      </c>
      <c r="L97" s="217">
        <v>4245000</v>
      </c>
      <c r="M97" s="222">
        <v>753</v>
      </c>
      <c r="N97" s="212" t="s">
        <v>77</v>
      </c>
      <c r="O97" s="212" t="s">
        <v>77</v>
      </c>
      <c r="P97" s="212" t="s">
        <v>77</v>
      </c>
      <c r="Q97" s="212" t="s">
        <v>77</v>
      </c>
      <c r="R97" s="212" t="s">
        <v>77</v>
      </c>
      <c r="S97" s="212" t="s">
        <v>77</v>
      </c>
      <c r="U97" s="27"/>
    </row>
    <row r="98" spans="1:21" s="14" customFormat="1" ht="12" customHeight="1" x14ac:dyDescent="0.2">
      <c r="A98" s="485"/>
      <c r="B98" s="92">
        <v>2014</v>
      </c>
      <c r="C98" s="223">
        <v>3895000</v>
      </c>
      <c r="D98" s="212" t="s">
        <v>77</v>
      </c>
      <c r="E98" s="221" t="s">
        <v>77</v>
      </c>
      <c r="F98" s="217">
        <v>3895000</v>
      </c>
      <c r="G98" s="221">
        <v>759</v>
      </c>
      <c r="H98" s="206" t="s">
        <v>77</v>
      </c>
      <c r="I98" s="221" t="s">
        <v>77</v>
      </c>
      <c r="J98" s="485"/>
      <c r="K98" s="52">
        <v>2014</v>
      </c>
      <c r="L98" s="217">
        <v>3895000</v>
      </c>
      <c r="M98" s="222">
        <v>759</v>
      </c>
      <c r="N98" s="212" t="s">
        <v>77</v>
      </c>
      <c r="O98" s="212" t="s">
        <v>77</v>
      </c>
      <c r="P98" s="212" t="s">
        <v>77</v>
      </c>
      <c r="Q98" s="212" t="s">
        <v>77</v>
      </c>
      <c r="R98" s="212" t="s">
        <v>77</v>
      </c>
      <c r="S98" s="212" t="s">
        <v>77</v>
      </c>
    </row>
    <row r="99" spans="1:21" s="14" customFormat="1" ht="12" customHeight="1" x14ac:dyDescent="0.2">
      <c r="A99" s="485"/>
      <c r="B99" s="92">
        <v>2015</v>
      </c>
      <c r="C99" s="223">
        <v>3705000</v>
      </c>
      <c r="D99" s="212" t="s">
        <v>77</v>
      </c>
      <c r="E99" s="221" t="s">
        <v>77</v>
      </c>
      <c r="F99" s="217">
        <v>3705000</v>
      </c>
      <c r="G99" s="221">
        <v>781</v>
      </c>
      <c r="H99" s="206" t="s">
        <v>77</v>
      </c>
      <c r="I99" s="231" t="s">
        <v>77</v>
      </c>
      <c r="J99" s="485"/>
      <c r="K99" s="92">
        <v>2015</v>
      </c>
      <c r="L99" s="217">
        <v>3705000</v>
      </c>
      <c r="M99" s="222">
        <v>781</v>
      </c>
      <c r="N99" s="212" t="s">
        <v>77</v>
      </c>
      <c r="O99" s="212" t="s">
        <v>77</v>
      </c>
      <c r="P99" s="212" t="s">
        <v>77</v>
      </c>
      <c r="Q99" s="212" t="s">
        <v>77</v>
      </c>
      <c r="R99" s="212" t="s">
        <v>77</v>
      </c>
      <c r="S99" s="212" t="s">
        <v>77</v>
      </c>
      <c r="U99" s="42"/>
    </row>
    <row r="100" spans="1:21" s="14" customFormat="1" ht="12" customHeight="1" x14ac:dyDescent="0.2">
      <c r="A100" s="485"/>
      <c r="B100" s="92">
        <v>2016</v>
      </c>
      <c r="C100" s="223">
        <v>4032000</v>
      </c>
      <c r="D100" s="212" t="s">
        <v>77</v>
      </c>
      <c r="E100" s="221" t="s">
        <v>77</v>
      </c>
      <c r="F100" s="217">
        <v>4032000</v>
      </c>
      <c r="G100" s="221">
        <v>905</v>
      </c>
      <c r="H100" s="206" t="s">
        <v>77</v>
      </c>
      <c r="I100" s="231" t="s">
        <v>77</v>
      </c>
      <c r="J100" s="487"/>
      <c r="K100" s="92">
        <v>2016</v>
      </c>
      <c r="L100" s="217">
        <v>4032000</v>
      </c>
      <c r="M100" s="222">
        <v>905</v>
      </c>
      <c r="N100" s="212" t="s">
        <v>77</v>
      </c>
      <c r="O100" s="212" t="s">
        <v>77</v>
      </c>
      <c r="P100" s="212" t="s">
        <v>77</v>
      </c>
      <c r="Q100" s="212" t="s">
        <v>77</v>
      </c>
      <c r="R100" s="212" t="s">
        <v>77</v>
      </c>
      <c r="S100" s="212" t="s">
        <v>77</v>
      </c>
      <c r="T100" s="41"/>
      <c r="U100" s="41"/>
    </row>
    <row r="101" spans="1:21" s="42" customFormat="1" ht="12" customHeight="1" x14ac:dyDescent="0.2">
      <c r="A101" s="485"/>
      <c r="B101" s="92">
        <v>2017</v>
      </c>
      <c r="C101" s="223">
        <v>4016000</v>
      </c>
      <c r="D101" s="212" t="s">
        <v>77</v>
      </c>
      <c r="E101" s="221" t="s">
        <v>77</v>
      </c>
      <c r="F101" s="217">
        <v>4016000</v>
      </c>
      <c r="G101" s="221">
        <v>927</v>
      </c>
      <c r="H101" s="206" t="s">
        <v>77</v>
      </c>
      <c r="I101" s="231" t="s">
        <v>77</v>
      </c>
      <c r="J101" s="487"/>
      <c r="K101" s="92">
        <v>2017</v>
      </c>
      <c r="L101" s="217">
        <v>4016000</v>
      </c>
      <c r="M101" s="222">
        <v>927</v>
      </c>
      <c r="N101" s="212" t="s">
        <v>77</v>
      </c>
      <c r="O101" s="212" t="s">
        <v>77</v>
      </c>
      <c r="P101" s="212" t="s">
        <v>77</v>
      </c>
      <c r="Q101" s="212" t="s">
        <v>77</v>
      </c>
      <c r="R101" s="212" t="s">
        <v>77</v>
      </c>
      <c r="S101" s="212" t="s">
        <v>77</v>
      </c>
      <c r="T101" s="41"/>
      <c r="U101" s="41"/>
    </row>
    <row r="102" spans="1:21" s="42" customFormat="1" ht="12" customHeight="1" x14ac:dyDescent="0.2">
      <c r="A102" s="485"/>
      <c r="B102" s="52">
        <v>2018</v>
      </c>
      <c r="C102" s="223">
        <v>4285000</v>
      </c>
      <c r="D102" s="217" t="s">
        <v>77</v>
      </c>
      <c r="E102" s="221" t="s">
        <v>77</v>
      </c>
      <c r="F102" s="217">
        <v>4285000</v>
      </c>
      <c r="G102" s="221">
        <v>1010</v>
      </c>
      <c r="H102" s="217" t="s">
        <v>77</v>
      </c>
      <c r="I102" s="221" t="s">
        <v>77</v>
      </c>
      <c r="J102" s="487"/>
      <c r="K102" s="92">
        <v>2018</v>
      </c>
      <c r="L102" s="217" t="s">
        <v>77</v>
      </c>
      <c r="M102" s="222" t="s">
        <v>77</v>
      </c>
      <c r="N102" s="212" t="s">
        <v>77</v>
      </c>
      <c r="O102" s="212" t="s">
        <v>77</v>
      </c>
      <c r="P102" s="212" t="s">
        <v>77</v>
      </c>
      <c r="Q102" s="212" t="s">
        <v>77</v>
      </c>
      <c r="R102" s="212" t="s">
        <v>77</v>
      </c>
      <c r="S102" s="212" t="s">
        <v>77</v>
      </c>
      <c r="T102" s="41"/>
      <c r="U102" s="41"/>
    </row>
    <row r="103" spans="1:21" s="14" customFormat="1" ht="12" customHeight="1" x14ac:dyDescent="0.2">
      <c r="A103" s="485"/>
      <c r="B103" s="52">
        <v>2019</v>
      </c>
      <c r="C103" s="223">
        <v>3920000</v>
      </c>
      <c r="D103" s="217" t="s">
        <v>77</v>
      </c>
      <c r="E103" s="221" t="s">
        <v>77</v>
      </c>
      <c r="F103" s="217">
        <v>3920000</v>
      </c>
      <c r="G103" s="221">
        <v>972</v>
      </c>
      <c r="H103" s="217" t="s">
        <v>77</v>
      </c>
      <c r="I103" s="221" t="s">
        <v>77</v>
      </c>
      <c r="J103" s="487"/>
      <c r="K103" s="92">
        <v>2019</v>
      </c>
      <c r="L103" s="217" t="s">
        <v>77</v>
      </c>
      <c r="M103" s="222" t="s">
        <v>77</v>
      </c>
      <c r="N103" s="212" t="s">
        <v>77</v>
      </c>
      <c r="O103" s="212" t="s">
        <v>77</v>
      </c>
      <c r="P103" s="212" t="s">
        <v>77</v>
      </c>
      <c r="Q103" s="212" t="s">
        <v>77</v>
      </c>
      <c r="R103" s="212" t="s">
        <v>77</v>
      </c>
      <c r="S103" s="212" t="s">
        <v>77</v>
      </c>
      <c r="U103" s="42"/>
    </row>
    <row r="104" spans="1:21" s="42" customFormat="1" ht="12" customHeight="1" x14ac:dyDescent="0.2">
      <c r="A104" s="485"/>
      <c r="B104" s="52">
        <v>2020</v>
      </c>
      <c r="C104" s="223">
        <f>3415000</f>
        <v>3415000</v>
      </c>
      <c r="D104" s="217" t="s">
        <v>77</v>
      </c>
      <c r="E104" s="221" t="s">
        <v>77</v>
      </c>
      <c r="F104" s="217">
        <v>3415000</v>
      </c>
      <c r="G104" s="221">
        <v>795</v>
      </c>
      <c r="H104" s="217" t="s">
        <v>77</v>
      </c>
      <c r="I104" s="221" t="s">
        <v>77</v>
      </c>
      <c r="J104" s="487"/>
      <c r="K104" s="92">
        <v>2020</v>
      </c>
      <c r="L104" s="217" t="s">
        <v>77</v>
      </c>
      <c r="M104" s="222" t="s">
        <v>77</v>
      </c>
      <c r="N104" s="212" t="s">
        <v>77</v>
      </c>
      <c r="O104" s="212" t="s">
        <v>77</v>
      </c>
      <c r="P104" s="212" t="s">
        <v>77</v>
      </c>
      <c r="Q104" s="212" t="s">
        <v>77</v>
      </c>
      <c r="R104" s="212" t="s">
        <v>77</v>
      </c>
      <c r="S104" s="212" t="s">
        <v>77</v>
      </c>
      <c r="T104" s="472"/>
    </row>
    <row r="105" spans="1:21" s="42" customFormat="1" ht="12" customHeight="1" x14ac:dyDescent="0.2">
      <c r="A105" s="485"/>
      <c r="B105" s="52"/>
      <c r="C105" s="223"/>
      <c r="D105" s="217"/>
      <c r="E105" s="221"/>
      <c r="F105" s="217"/>
      <c r="G105" s="221"/>
      <c r="H105" s="217"/>
      <c r="I105" s="221"/>
      <c r="J105" s="485"/>
      <c r="K105" s="52"/>
      <c r="L105" s="217"/>
      <c r="M105" s="222"/>
      <c r="N105" s="212"/>
      <c r="O105" s="212"/>
      <c r="P105" s="212"/>
      <c r="Q105" s="212"/>
      <c r="R105" s="212"/>
      <c r="S105" s="212"/>
    </row>
    <row r="106" spans="1:21" s="14" customFormat="1" ht="12" customHeight="1" x14ac:dyDescent="0.2">
      <c r="A106" s="485" t="s">
        <v>192</v>
      </c>
      <c r="B106" s="52">
        <v>2011</v>
      </c>
      <c r="C106" s="219">
        <v>6642000</v>
      </c>
      <c r="D106" s="217">
        <v>935000</v>
      </c>
      <c r="E106" s="221">
        <v>985</v>
      </c>
      <c r="F106" s="217">
        <v>5707000</v>
      </c>
      <c r="G106" s="221">
        <v>510</v>
      </c>
      <c r="H106" s="217">
        <v>25000</v>
      </c>
      <c r="I106" s="221">
        <v>355</v>
      </c>
      <c r="J106" s="485" t="s">
        <v>192</v>
      </c>
      <c r="K106" s="52">
        <v>2011</v>
      </c>
      <c r="L106" s="217">
        <v>3875000</v>
      </c>
      <c r="M106" s="222">
        <v>584</v>
      </c>
      <c r="N106" s="212" t="s">
        <v>77</v>
      </c>
      <c r="O106" s="212" t="s">
        <v>77</v>
      </c>
      <c r="P106" s="217">
        <v>1807000</v>
      </c>
      <c r="Q106" s="222">
        <v>352</v>
      </c>
      <c r="R106" s="217">
        <v>384300</v>
      </c>
      <c r="S106" s="221">
        <v>1650</v>
      </c>
    </row>
    <row r="107" spans="1:21" s="14" customFormat="1" ht="12" customHeight="1" x14ac:dyDescent="0.2">
      <c r="A107" s="485"/>
      <c r="B107" s="52">
        <v>2012</v>
      </c>
      <c r="C107" s="223">
        <v>6852000</v>
      </c>
      <c r="D107" s="217">
        <v>957000</v>
      </c>
      <c r="E107" s="221">
        <v>1370</v>
      </c>
      <c r="F107" s="217">
        <v>5895000</v>
      </c>
      <c r="G107" s="221">
        <v>657</v>
      </c>
      <c r="H107" s="217">
        <v>20000</v>
      </c>
      <c r="I107" s="221">
        <v>400</v>
      </c>
      <c r="J107" s="485"/>
      <c r="K107" s="52">
        <v>2012</v>
      </c>
      <c r="L107" s="217">
        <v>4387000</v>
      </c>
      <c r="M107" s="222">
        <v>734</v>
      </c>
      <c r="N107" s="212" t="s">
        <v>77</v>
      </c>
      <c r="O107" s="212" t="s">
        <v>77</v>
      </c>
      <c r="P107" s="217">
        <v>1488000</v>
      </c>
      <c r="Q107" s="222">
        <v>435</v>
      </c>
      <c r="R107" s="217">
        <v>345900</v>
      </c>
      <c r="S107" s="221">
        <v>1870</v>
      </c>
    </row>
    <row r="108" spans="1:21" s="14" customFormat="1" ht="12" customHeight="1" x14ac:dyDescent="0.2">
      <c r="A108" s="485"/>
      <c r="B108" s="92">
        <v>2013</v>
      </c>
      <c r="C108" s="223">
        <v>7742000</v>
      </c>
      <c r="D108" s="217">
        <v>1111000</v>
      </c>
      <c r="E108" s="221">
        <v>1430</v>
      </c>
      <c r="F108" s="217">
        <v>6631000</v>
      </c>
      <c r="G108" s="221">
        <v>600</v>
      </c>
      <c r="H108" s="217">
        <v>22000</v>
      </c>
      <c r="I108" s="221">
        <v>435</v>
      </c>
      <c r="J108" s="485"/>
      <c r="K108" s="484">
        <v>2013</v>
      </c>
      <c r="L108" s="217">
        <v>4700000</v>
      </c>
      <c r="M108" s="222">
        <v>704</v>
      </c>
      <c r="N108" s="212" t="s">
        <v>77</v>
      </c>
      <c r="O108" s="212" t="s">
        <v>77</v>
      </c>
      <c r="P108" s="217">
        <v>1909000</v>
      </c>
      <c r="Q108" s="222">
        <v>347</v>
      </c>
      <c r="R108" s="217">
        <v>406100</v>
      </c>
      <c r="S108" s="221">
        <v>1630</v>
      </c>
    </row>
    <row r="109" spans="1:21" s="14" customFormat="1" ht="12" customHeight="1" x14ac:dyDescent="0.2">
      <c r="A109" s="485"/>
      <c r="B109" s="92">
        <v>2014</v>
      </c>
      <c r="C109" s="223">
        <v>6934000</v>
      </c>
      <c r="D109" s="217">
        <v>1046000</v>
      </c>
      <c r="E109" s="221">
        <v>1520</v>
      </c>
      <c r="F109" s="217">
        <v>5888000</v>
      </c>
      <c r="G109" s="221">
        <v>620</v>
      </c>
      <c r="H109" s="217">
        <v>21000</v>
      </c>
      <c r="I109" s="221">
        <v>475</v>
      </c>
      <c r="J109" s="485"/>
      <c r="K109" s="484">
        <v>2014</v>
      </c>
      <c r="L109" s="217">
        <v>4146000</v>
      </c>
      <c r="M109" s="222">
        <v>727</v>
      </c>
      <c r="N109" s="212" t="s">
        <v>77</v>
      </c>
      <c r="O109" s="212" t="s">
        <v>77</v>
      </c>
      <c r="P109" s="217">
        <v>1721000</v>
      </c>
      <c r="Q109" s="222">
        <v>363</v>
      </c>
      <c r="R109" s="217">
        <v>366200</v>
      </c>
      <c r="S109" s="221">
        <v>1710</v>
      </c>
      <c r="U109" s="42"/>
    </row>
    <row r="110" spans="1:21" s="14" customFormat="1" ht="12" customHeight="1" x14ac:dyDescent="0.2">
      <c r="A110" s="485"/>
      <c r="B110" s="92">
        <v>2015</v>
      </c>
      <c r="C110" s="223">
        <v>6792000</v>
      </c>
      <c r="D110" s="217">
        <v>1038000</v>
      </c>
      <c r="E110" s="221">
        <v>1700</v>
      </c>
      <c r="F110" s="217">
        <v>5754000</v>
      </c>
      <c r="G110" s="221">
        <v>616</v>
      </c>
      <c r="H110" s="217">
        <v>22000</v>
      </c>
      <c r="I110" s="221">
        <v>575</v>
      </c>
      <c r="J110" s="485"/>
      <c r="K110" s="395">
        <v>2015</v>
      </c>
      <c r="L110" s="217">
        <v>3868000</v>
      </c>
      <c r="M110" s="222">
        <v>756</v>
      </c>
      <c r="N110" s="212" t="s">
        <v>77</v>
      </c>
      <c r="O110" s="212" t="s">
        <v>77</v>
      </c>
      <c r="P110" s="217">
        <v>1864000</v>
      </c>
      <c r="Q110" s="222">
        <v>326</v>
      </c>
      <c r="R110" s="217">
        <v>388500</v>
      </c>
      <c r="S110" s="221">
        <v>1560</v>
      </c>
      <c r="U110" s="42"/>
    </row>
    <row r="111" spans="1:21" s="14" customFormat="1" ht="12" customHeight="1" x14ac:dyDescent="0.2">
      <c r="A111" s="485"/>
      <c r="B111" s="92">
        <v>2016</v>
      </c>
      <c r="C111" s="223">
        <v>6752000</v>
      </c>
      <c r="D111" s="217">
        <v>1036000</v>
      </c>
      <c r="E111" s="221">
        <v>1500</v>
      </c>
      <c r="F111" s="217">
        <v>5716000</v>
      </c>
      <c r="G111" s="221">
        <v>711</v>
      </c>
      <c r="H111" s="217">
        <v>19000</v>
      </c>
      <c r="I111" s="221">
        <v>611</v>
      </c>
      <c r="J111" s="485"/>
      <c r="K111" s="395">
        <v>2016</v>
      </c>
      <c r="L111" s="217">
        <v>4219000</v>
      </c>
      <c r="M111" s="222">
        <v>873</v>
      </c>
      <c r="N111" s="212" t="s">
        <v>77</v>
      </c>
      <c r="O111" s="212" t="s">
        <v>77</v>
      </c>
      <c r="P111" s="217">
        <v>1478000</v>
      </c>
      <c r="Q111" s="222">
        <v>252</v>
      </c>
      <c r="R111" s="217">
        <v>335900</v>
      </c>
      <c r="S111" s="221">
        <v>1110</v>
      </c>
      <c r="U111" s="42"/>
    </row>
    <row r="112" spans="1:21" s="42" customFormat="1" ht="12" customHeight="1" x14ac:dyDescent="0.2">
      <c r="A112" s="485"/>
      <c r="B112" s="92">
        <v>2017</v>
      </c>
      <c r="C112" s="223">
        <v>6507000</v>
      </c>
      <c r="D112" s="217">
        <v>1027000</v>
      </c>
      <c r="E112" s="221">
        <v>1530</v>
      </c>
      <c r="F112" s="217">
        <v>5480000</v>
      </c>
      <c r="G112" s="221">
        <v>780</v>
      </c>
      <c r="H112" s="217">
        <v>16000</v>
      </c>
      <c r="I112" s="221">
        <v>601</v>
      </c>
      <c r="J112" s="485"/>
      <c r="K112" s="395">
        <v>2017</v>
      </c>
      <c r="L112" s="217">
        <v>4243000</v>
      </c>
      <c r="M112" s="222">
        <v>889</v>
      </c>
      <c r="N112" s="212" t="s">
        <v>77</v>
      </c>
      <c r="O112" s="212" t="s">
        <v>77</v>
      </c>
      <c r="P112" s="217">
        <v>1221000</v>
      </c>
      <c r="Q112" s="222">
        <v>407</v>
      </c>
      <c r="R112" s="217">
        <v>271300</v>
      </c>
      <c r="S112" s="221">
        <v>1830</v>
      </c>
    </row>
    <row r="113" spans="1:20" s="42" customFormat="1" ht="12" customHeight="1" x14ac:dyDescent="0.2">
      <c r="A113" s="485"/>
      <c r="B113" s="395">
        <v>2018</v>
      </c>
      <c r="C113" s="396">
        <v>7130000</v>
      </c>
      <c r="D113" s="233">
        <v>1098900</v>
      </c>
      <c r="E113" s="397">
        <v>1120</v>
      </c>
      <c r="F113" s="233">
        <v>6031100</v>
      </c>
      <c r="G113" s="397">
        <v>834</v>
      </c>
      <c r="H113" s="233" t="s">
        <v>77</v>
      </c>
      <c r="I113" s="397" t="s">
        <v>77</v>
      </c>
      <c r="J113" s="487"/>
      <c r="K113" s="395">
        <v>2018</v>
      </c>
      <c r="L113" s="233" t="s">
        <v>77</v>
      </c>
      <c r="M113" s="250" t="s">
        <v>77</v>
      </c>
      <c r="N113" s="235" t="s">
        <v>77</v>
      </c>
      <c r="O113" s="235" t="s">
        <v>77</v>
      </c>
      <c r="P113" s="233" t="s">
        <v>77</v>
      </c>
      <c r="Q113" s="250" t="s">
        <v>77</v>
      </c>
      <c r="R113" s="233" t="s">
        <v>77</v>
      </c>
      <c r="S113" s="397" t="s">
        <v>77</v>
      </c>
    </row>
    <row r="114" spans="1:20" s="42" customFormat="1" ht="12" customHeight="1" x14ac:dyDescent="0.2">
      <c r="A114" s="485"/>
      <c r="B114" s="395">
        <v>2019</v>
      </c>
      <c r="C114" s="396">
        <f>998000+5492000</f>
        <v>6490000</v>
      </c>
      <c r="D114" s="233">
        <v>998000</v>
      </c>
      <c r="E114" s="397">
        <v>1180</v>
      </c>
      <c r="F114" s="233">
        <v>5492000</v>
      </c>
      <c r="G114" s="397">
        <v>768</v>
      </c>
      <c r="H114" s="233" t="s">
        <v>77</v>
      </c>
      <c r="I114" s="397" t="s">
        <v>77</v>
      </c>
      <c r="J114" s="487"/>
      <c r="K114" s="395">
        <v>2019</v>
      </c>
      <c r="L114" s="233" t="s">
        <v>77</v>
      </c>
      <c r="M114" s="250" t="s">
        <v>77</v>
      </c>
      <c r="N114" s="235" t="s">
        <v>77</v>
      </c>
      <c r="O114" s="235" t="s">
        <v>77</v>
      </c>
      <c r="P114" s="233" t="s">
        <v>77</v>
      </c>
      <c r="Q114" s="250" t="s">
        <v>77</v>
      </c>
      <c r="R114" s="233" t="s">
        <v>77</v>
      </c>
      <c r="S114" s="397" t="s">
        <v>77</v>
      </c>
    </row>
    <row r="115" spans="1:20" s="42" customFormat="1" ht="12" customHeight="1" x14ac:dyDescent="0.2">
      <c r="A115" s="488"/>
      <c r="B115" s="128">
        <v>2020</v>
      </c>
      <c r="C115" s="421">
        <f>960100+4654900</f>
        <v>5615000</v>
      </c>
      <c r="D115" s="227">
        <v>960100</v>
      </c>
      <c r="E115" s="228">
        <v>1500</v>
      </c>
      <c r="F115" s="227">
        <v>4654900</v>
      </c>
      <c r="G115" s="228">
        <v>653</v>
      </c>
      <c r="H115" s="227" t="s">
        <v>77</v>
      </c>
      <c r="I115" s="228" t="s">
        <v>77</v>
      </c>
      <c r="J115" s="489"/>
      <c r="K115" s="128">
        <v>2020</v>
      </c>
      <c r="L115" s="227" t="s">
        <v>77</v>
      </c>
      <c r="M115" s="438" t="s">
        <v>77</v>
      </c>
      <c r="N115" s="229" t="s">
        <v>77</v>
      </c>
      <c r="O115" s="229" t="s">
        <v>77</v>
      </c>
      <c r="P115" s="227" t="s">
        <v>77</v>
      </c>
      <c r="Q115" s="438" t="s">
        <v>77</v>
      </c>
      <c r="R115" s="227" t="s">
        <v>77</v>
      </c>
      <c r="S115" s="228" t="s">
        <v>77</v>
      </c>
      <c r="T115" s="472"/>
    </row>
    <row r="116" spans="1:20" s="41" customFormat="1" ht="3.75" customHeight="1" x14ac:dyDescent="0.2">
      <c r="A116" s="487"/>
      <c r="B116" s="92"/>
      <c r="C116" s="223"/>
      <c r="D116" s="217"/>
      <c r="E116" s="221"/>
      <c r="F116" s="217"/>
      <c r="G116" s="221"/>
      <c r="H116" s="217"/>
      <c r="I116" s="221"/>
      <c r="J116" s="487"/>
      <c r="K116" s="92"/>
      <c r="L116" s="212"/>
      <c r="M116" s="222"/>
      <c r="N116" s="212"/>
      <c r="O116" s="212"/>
      <c r="P116" s="212"/>
      <c r="Q116" s="212"/>
      <c r="R116" s="212"/>
      <c r="S116" s="212"/>
    </row>
    <row r="117" spans="1:20" s="14" customFormat="1" ht="12" customHeight="1" x14ac:dyDescent="0.2">
      <c r="A117" s="485" t="s">
        <v>193</v>
      </c>
      <c r="B117" s="52">
        <v>2011</v>
      </c>
      <c r="C117" s="56">
        <v>36700</v>
      </c>
      <c r="D117" s="54">
        <v>33300</v>
      </c>
      <c r="E117" s="57" t="s">
        <v>77</v>
      </c>
      <c r="F117" s="54">
        <v>3400</v>
      </c>
      <c r="G117" s="57" t="s">
        <v>85</v>
      </c>
      <c r="H117" s="53" t="s">
        <v>85</v>
      </c>
      <c r="I117" s="57" t="s">
        <v>85</v>
      </c>
      <c r="J117" s="485" t="s">
        <v>193</v>
      </c>
      <c r="K117" s="52">
        <v>2011</v>
      </c>
      <c r="L117" s="53" t="s">
        <v>77</v>
      </c>
      <c r="M117" s="77" t="s">
        <v>77</v>
      </c>
      <c r="N117" s="53" t="s">
        <v>77</v>
      </c>
      <c r="O117" s="53" t="s">
        <v>77</v>
      </c>
      <c r="P117" s="53" t="s">
        <v>77</v>
      </c>
      <c r="Q117" s="53" t="s">
        <v>77</v>
      </c>
      <c r="R117" s="53" t="s">
        <v>77</v>
      </c>
      <c r="S117" s="53" t="s">
        <v>77</v>
      </c>
    </row>
    <row r="118" spans="1:20" s="14" customFormat="1" ht="12" customHeight="1" x14ac:dyDescent="0.2">
      <c r="A118" s="485"/>
      <c r="B118" s="52">
        <v>2012</v>
      </c>
      <c r="C118" s="58">
        <v>27100</v>
      </c>
      <c r="D118" s="54">
        <v>26600</v>
      </c>
      <c r="E118" s="57">
        <v>1030</v>
      </c>
      <c r="F118" s="54">
        <v>500</v>
      </c>
      <c r="G118" s="57">
        <v>220</v>
      </c>
      <c r="H118" s="53" t="s">
        <v>85</v>
      </c>
      <c r="I118" s="57" t="s">
        <v>85</v>
      </c>
      <c r="J118" s="485"/>
      <c r="K118" s="52">
        <v>2012</v>
      </c>
      <c r="L118" s="53" t="s">
        <v>77</v>
      </c>
      <c r="M118" s="77" t="s">
        <v>77</v>
      </c>
      <c r="N118" s="53" t="s">
        <v>77</v>
      </c>
      <c r="O118" s="53" t="s">
        <v>77</v>
      </c>
      <c r="P118" s="53" t="s">
        <v>77</v>
      </c>
      <c r="Q118" s="53" t="s">
        <v>77</v>
      </c>
      <c r="R118" s="53" t="s">
        <v>77</v>
      </c>
      <c r="S118" s="53" t="s">
        <v>77</v>
      </c>
    </row>
    <row r="119" spans="1:20" s="14" customFormat="1" ht="12" customHeight="1" x14ac:dyDescent="0.2">
      <c r="A119" s="485"/>
      <c r="B119" s="52">
        <v>2013</v>
      </c>
      <c r="C119" s="58">
        <v>26900</v>
      </c>
      <c r="D119" s="54">
        <v>24600</v>
      </c>
      <c r="E119" s="57">
        <v>1180</v>
      </c>
      <c r="F119" s="54">
        <v>2300</v>
      </c>
      <c r="G119" s="57">
        <v>341</v>
      </c>
      <c r="H119" s="53" t="s">
        <v>85</v>
      </c>
      <c r="I119" s="57" t="s">
        <v>85</v>
      </c>
      <c r="J119" s="485"/>
      <c r="K119" s="52">
        <v>2013</v>
      </c>
      <c r="L119" s="53" t="s">
        <v>77</v>
      </c>
      <c r="M119" s="77" t="s">
        <v>77</v>
      </c>
      <c r="N119" s="53" t="s">
        <v>77</v>
      </c>
      <c r="O119" s="53" t="s">
        <v>77</v>
      </c>
      <c r="P119" s="53" t="s">
        <v>77</v>
      </c>
      <c r="Q119" s="53" t="s">
        <v>77</v>
      </c>
      <c r="R119" s="53" t="s">
        <v>77</v>
      </c>
      <c r="S119" s="53" t="s">
        <v>77</v>
      </c>
    </row>
    <row r="120" spans="1:20" s="14" customFormat="1" ht="12" customHeight="1" x14ac:dyDescent="0.2">
      <c r="A120" s="485"/>
      <c r="B120" s="52">
        <v>2014</v>
      </c>
      <c r="C120" s="58">
        <v>27900</v>
      </c>
      <c r="D120" s="54">
        <v>25300</v>
      </c>
      <c r="E120" s="57">
        <v>1310</v>
      </c>
      <c r="F120" s="54">
        <v>2600</v>
      </c>
      <c r="G120" s="57">
        <v>73.099999999999994</v>
      </c>
      <c r="H120" s="53" t="s">
        <v>85</v>
      </c>
      <c r="I120" s="57" t="s">
        <v>85</v>
      </c>
      <c r="J120" s="485"/>
      <c r="K120" s="52">
        <v>2014</v>
      </c>
      <c r="L120" s="53" t="s">
        <v>77</v>
      </c>
      <c r="M120" s="77" t="s">
        <v>77</v>
      </c>
      <c r="N120" s="53" t="s">
        <v>77</v>
      </c>
      <c r="O120" s="53" t="s">
        <v>77</v>
      </c>
      <c r="P120" s="53" t="s">
        <v>77</v>
      </c>
      <c r="Q120" s="53" t="s">
        <v>77</v>
      </c>
      <c r="R120" s="53" t="s">
        <v>77</v>
      </c>
      <c r="S120" s="53" t="s">
        <v>77</v>
      </c>
    </row>
    <row r="121" spans="1:20" s="14" customFormat="1" ht="12" customHeight="1" x14ac:dyDescent="0.2">
      <c r="A121" s="485"/>
      <c r="B121" s="92">
        <v>2015</v>
      </c>
      <c r="C121" s="219">
        <v>20900</v>
      </c>
      <c r="D121" s="217">
        <v>20900</v>
      </c>
      <c r="E121" s="221">
        <v>1470</v>
      </c>
      <c r="F121" s="217" t="s">
        <v>85</v>
      </c>
      <c r="G121" s="221" t="s">
        <v>85</v>
      </c>
      <c r="H121" s="212" t="s">
        <v>85</v>
      </c>
      <c r="I121" s="221" t="s">
        <v>85</v>
      </c>
      <c r="J121" s="485"/>
      <c r="K121" s="92">
        <v>2015</v>
      </c>
      <c r="L121" s="212" t="s">
        <v>77</v>
      </c>
      <c r="M121" s="222" t="s">
        <v>77</v>
      </c>
      <c r="N121" s="212" t="s">
        <v>77</v>
      </c>
      <c r="O121" s="212" t="s">
        <v>77</v>
      </c>
      <c r="P121" s="212" t="s">
        <v>77</v>
      </c>
      <c r="Q121" s="212" t="s">
        <v>77</v>
      </c>
      <c r="R121" s="212" t="s">
        <v>77</v>
      </c>
      <c r="S121" s="212" t="s">
        <v>77</v>
      </c>
    </row>
    <row r="122" spans="1:20" s="14" customFormat="1" ht="12" customHeight="1" x14ac:dyDescent="0.2">
      <c r="A122" s="485"/>
      <c r="B122" s="92">
        <v>2016</v>
      </c>
      <c r="C122" s="219">
        <v>28300</v>
      </c>
      <c r="D122" s="217">
        <v>28300</v>
      </c>
      <c r="E122" s="221">
        <v>1570</v>
      </c>
      <c r="F122" s="212" t="s">
        <v>85</v>
      </c>
      <c r="G122" s="212" t="s">
        <v>85</v>
      </c>
      <c r="H122" s="212" t="s">
        <v>85</v>
      </c>
      <c r="I122" s="221" t="s">
        <v>85</v>
      </c>
      <c r="J122" s="485"/>
      <c r="K122" s="92">
        <v>2016</v>
      </c>
      <c r="L122" s="212" t="s">
        <v>77</v>
      </c>
      <c r="M122" s="222" t="s">
        <v>77</v>
      </c>
      <c r="N122" s="212" t="s">
        <v>77</v>
      </c>
      <c r="O122" s="212" t="s">
        <v>77</v>
      </c>
      <c r="P122" s="212" t="s">
        <v>77</v>
      </c>
      <c r="Q122" s="212" t="s">
        <v>77</v>
      </c>
      <c r="R122" s="212" t="s">
        <v>77</v>
      </c>
      <c r="S122" s="212" t="s">
        <v>77</v>
      </c>
    </row>
    <row r="123" spans="1:20" s="42" customFormat="1" ht="12" customHeight="1" x14ac:dyDescent="0.2">
      <c r="A123" s="485"/>
      <c r="B123" s="92">
        <v>2017</v>
      </c>
      <c r="C123" s="219">
        <v>33200</v>
      </c>
      <c r="D123" s="217">
        <v>33200</v>
      </c>
      <c r="E123" s="221">
        <v>1050</v>
      </c>
      <c r="F123" s="212" t="s">
        <v>85</v>
      </c>
      <c r="G123" s="212" t="s">
        <v>85</v>
      </c>
      <c r="H123" s="212" t="s">
        <v>85</v>
      </c>
      <c r="I123" s="221" t="s">
        <v>85</v>
      </c>
      <c r="J123" s="485"/>
      <c r="K123" s="92">
        <v>2017</v>
      </c>
      <c r="L123" s="212" t="s">
        <v>85</v>
      </c>
      <c r="M123" s="222" t="s">
        <v>85</v>
      </c>
      <c r="N123" s="212" t="s">
        <v>85</v>
      </c>
      <c r="O123" s="212" t="s">
        <v>85</v>
      </c>
      <c r="P123" s="212" t="s">
        <v>85</v>
      </c>
      <c r="Q123" s="212" t="s">
        <v>85</v>
      </c>
      <c r="R123" s="212" t="s">
        <v>85</v>
      </c>
      <c r="S123" s="212" t="s">
        <v>85</v>
      </c>
    </row>
    <row r="124" spans="1:20" s="42" customFormat="1" ht="12" customHeight="1" x14ac:dyDescent="0.2">
      <c r="A124" s="485"/>
      <c r="B124" s="52">
        <v>2018</v>
      </c>
      <c r="C124" s="219">
        <v>37800</v>
      </c>
      <c r="D124" s="217">
        <v>37800</v>
      </c>
      <c r="E124" s="221">
        <v>1470</v>
      </c>
      <c r="F124" s="54" t="s">
        <v>77</v>
      </c>
      <c r="G124" s="57" t="s">
        <v>77</v>
      </c>
      <c r="H124" s="53" t="s">
        <v>77</v>
      </c>
      <c r="I124" s="57" t="s">
        <v>77</v>
      </c>
      <c r="J124" s="485"/>
      <c r="K124" s="92">
        <v>2018</v>
      </c>
      <c r="L124" s="212" t="s">
        <v>77</v>
      </c>
      <c r="M124" s="222" t="s">
        <v>77</v>
      </c>
      <c r="N124" s="212" t="s">
        <v>77</v>
      </c>
      <c r="O124" s="212" t="s">
        <v>77</v>
      </c>
      <c r="P124" s="212" t="s">
        <v>77</v>
      </c>
      <c r="Q124" s="212" t="s">
        <v>77</v>
      </c>
      <c r="R124" s="212" t="s">
        <v>77</v>
      </c>
      <c r="S124" s="212" t="s">
        <v>77</v>
      </c>
    </row>
    <row r="125" spans="1:20" s="14" customFormat="1" ht="12" customHeight="1" x14ac:dyDescent="0.2">
      <c r="A125" s="485"/>
      <c r="B125" s="52">
        <v>2019</v>
      </c>
      <c r="C125" s="219">
        <v>37250</v>
      </c>
      <c r="D125" s="217">
        <v>37250</v>
      </c>
      <c r="E125" s="221">
        <v>1820</v>
      </c>
      <c r="F125" s="54" t="s">
        <v>77</v>
      </c>
      <c r="G125" s="57" t="s">
        <v>77</v>
      </c>
      <c r="H125" s="53" t="s">
        <v>77</v>
      </c>
      <c r="I125" s="57" t="s">
        <v>77</v>
      </c>
      <c r="J125" s="485"/>
      <c r="K125" s="92">
        <v>2019</v>
      </c>
      <c r="L125" s="212" t="s">
        <v>77</v>
      </c>
      <c r="M125" s="222" t="s">
        <v>77</v>
      </c>
      <c r="N125" s="212" t="s">
        <v>77</v>
      </c>
      <c r="O125" s="212" t="s">
        <v>77</v>
      </c>
      <c r="P125" s="212" t="s">
        <v>77</v>
      </c>
      <c r="Q125" s="212" t="s">
        <v>77</v>
      </c>
      <c r="R125" s="212" t="s">
        <v>77</v>
      </c>
      <c r="S125" s="212" t="s">
        <v>77</v>
      </c>
    </row>
    <row r="126" spans="1:20" s="42" customFormat="1" ht="12" customHeight="1" x14ac:dyDescent="0.2">
      <c r="A126" s="485"/>
      <c r="B126" s="52">
        <v>2020</v>
      </c>
      <c r="C126" s="219">
        <v>39760</v>
      </c>
      <c r="D126" s="217">
        <v>39760</v>
      </c>
      <c r="E126" s="221">
        <v>1920</v>
      </c>
      <c r="F126" s="54" t="s">
        <v>77</v>
      </c>
      <c r="G126" s="57" t="s">
        <v>77</v>
      </c>
      <c r="H126" s="53" t="s">
        <v>77</v>
      </c>
      <c r="I126" s="57" t="s">
        <v>77</v>
      </c>
      <c r="J126" s="485"/>
      <c r="K126" s="92">
        <v>2020</v>
      </c>
      <c r="L126" s="212" t="s">
        <v>77</v>
      </c>
      <c r="M126" s="222" t="s">
        <v>77</v>
      </c>
      <c r="N126" s="212" t="s">
        <v>77</v>
      </c>
      <c r="O126" s="212" t="s">
        <v>77</v>
      </c>
      <c r="P126" s="212" t="s">
        <v>77</v>
      </c>
      <c r="Q126" s="212" t="s">
        <v>77</v>
      </c>
      <c r="R126" s="212" t="s">
        <v>77</v>
      </c>
      <c r="S126" s="212" t="s">
        <v>77</v>
      </c>
      <c r="T126" s="472"/>
    </row>
    <row r="127" spans="1:20" s="42" customFormat="1" ht="12" customHeight="1" x14ac:dyDescent="0.2">
      <c r="A127" s="485"/>
      <c r="B127" s="52"/>
      <c r="C127" s="219"/>
      <c r="D127" s="217"/>
      <c r="E127" s="221"/>
      <c r="F127" s="54"/>
      <c r="G127" s="57"/>
      <c r="H127" s="53"/>
      <c r="I127" s="57"/>
      <c r="J127" s="485"/>
      <c r="K127" s="92"/>
      <c r="L127" s="212"/>
      <c r="M127" s="222"/>
      <c r="N127" s="212"/>
      <c r="O127" s="212"/>
      <c r="P127" s="212"/>
      <c r="Q127" s="212"/>
      <c r="R127" s="212"/>
      <c r="S127" s="212"/>
    </row>
    <row r="128" spans="1:20" s="14" customFormat="1" ht="12" customHeight="1" x14ac:dyDescent="0.2">
      <c r="A128" s="485" t="s">
        <v>208</v>
      </c>
      <c r="B128" s="52">
        <v>2011</v>
      </c>
      <c r="C128" s="58">
        <v>216000</v>
      </c>
      <c r="D128" s="54">
        <v>216000</v>
      </c>
      <c r="E128" s="57">
        <v>590</v>
      </c>
      <c r="F128" s="53" t="s">
        <v>85</v>
      </c>
      <c r="G128" s="57" t="s">
        <v>85</v>
      </c>
      <c r="H128" s="53" t="s">
        <v>85</v>
      </c>
      <c r="I128" s="57" t="s">
        <v>85</v>
      </c>
      <c r="J128" s="485" t="s">
        <v>208</v>
      </c>
      <c r="K128" s="52">
        <v>2011</v>
      </c>
      <c r="L128" s="53" t="s">
        <v>77</v>
      </c>
      <c r="M128" s="77" t="s">
        <v>77</v>
      </c>
      <c r="N128" s="53" t="s">
        <v>77</v>
      </c>
      <c r="O128" s="53" t="s">
        <v>77</v>
      </c>
      <c r="P128" s="53" t="s">
        <v>77</v>
      </c>
      <c r="Q128" s="53" t="s">
        <v>77</v>
      </c>
      <c r="R128" s="53" t="s">
        <v>77</v>
      </c>
      <c r="S128" s="53" t="s">
        <v>77</v>
      </c>
    </row>
    <row r="129" spans="1:20" s="14" customFormat="1" ht="12" customHeight="1" x14ac:dyDescent="0.2">
      <c r="A129" s="485"/>
      <c r="B129" s="52">
        <v>2012</v>
      </c>
      <c r="C129" s="58">
        <v>180000</v>
      </c>
      <c r="D129" s="54">
        <v>180000</v>
      </c>
      <c r="E129" s="57">
        <v>777</v>
      </c>
      <c r="F129" s="53" t="s">
        <v>85</v>
      </c>
      <c r="G129" s="57" t="s">
        <v>85</v>
      </c>
      <c r="H129" s="53" t="s">
        <v>85</v>
      </c>
      <c r="I129" s="57" t="s">
        <v>85</v>
      </c>
      <c r="J129" s="485"/>
      <c r="K129" s="52">
        <v>2012</v>
      </c>
      <c r="L129" s="53" t="s">
        <v>77</v>
      </c>
      <c r="M129" s="77" t="s">
        <v>77</v>
      </c>
      <c r="N129" s="53" t="s">
        <v>77</v>
      </c>
      <c r="O129" s="53" t="s">
        <v>77</v>
      </c>
      <c r="P129" s="53" t="s">
        <v>77</v>
      </c>
      <c r="Q129" s="53" t="s">
        <v>77</v>
      </c>
      <c r="R129" s="53" t="s">
        <v>77</v>
      </c>
      <c r="S129" s="53" t="s">
        <v>77</v>
      </c>
    </row>
    <row r="130" spans="1:20" s="14" customFormat="1" ht="12" customHeight="1" x14ac:dyDescent="0.2">
      <c r="A130" s="485"/>
      <c r="B130" s="52">
        <v>2013</v>
      </c>
      <c r="C130" s="58">
        <v>150000</v>
      </c>
      <c r="D130" s="54" t="s">
        <v>77</v>
      </c>
      <c r="E130" s="57" t="s">
        <v>77</v>
      </c>
      <c r="F130" s="53" t="s">
        <v>85</v>
      </c>
      <c r="G130" s="57" t="s">
        <v>85</v>
      </c>
      <c r="H130" s="53" t="s">
        <v>85</v>
      </c>
      <c r="I130" s="57" t="s">
        <v>85</v>
      </c>
      <c r="J130" s="485"/>
      <c r="K130" s="52">
        <v>2013</v>
      </c>
      <c r="L130" s="53" t="s">
        <v>77</v>
      </c>
      <c r="M130" s="77" t="s">
        <v>77</v>
      </c>
      <c r="N130" s="53" t="s">
        <v>77</v>
      </c>
      <c r="O130" s="53" t="s">
        <v>77</v>
      </c>
      <c r="P130" s="53" t="s">
        <v>77</v>
      </c>
      <c r="Q130" s="53" t="s">
        <v>77</v>
      </c>
      <c r="R130" s="53" t="s">
        <v>77</v>
      </c>
      <c r="S130" s="53" t="s">
        <v>77</v>
      </c>
    </row>
    <row r="131" spans="1:20" s="14" customFormat="1" ht="12" customHeight="1" x14ac:dyDescent="0.2">
      <c r="A131" s="485"/>
      <c r="B131" s="52">
        <v>2014</v>
      </c>
      <c r="C131" s="58">
        <v>175000</v>
      </c>
      <c r="D131" s="99" t="s">
        <v>77</v>
      </c>
      <c r="E131" s="165" t="s">
        <v>77</v>
      </c>
      <c r="F131" s="53" t="s">
        <v>85</v>
      </c>
      <c r="G131" s="57" t="s">
        <v>85</v>
      </c>
      <c r="H131" s="53" t="s">
        <v>85</v>
      </c>
      <c r="I131" s="57" t="s">
        <v>85</v>
      </c>
      <c r="J131" s="485"/>
      <c r="K131" s="52">
        <v>2014</v>
      </c>
      <c r="L131" s="53" t="s">
        <v>77</v>
      </c>
      <c r="M131" s="77" t="s">
        <v>77</v>
      </c>
      <c r="N131" s="53" t="s">
        <v>77</v>
      </c>
      <c r="O131" s="53" t="s">
        <v>77</v>
      </c>
      <c r="P131" s="53" t="s">
        <v>77</v>
      </c>
      <c r="Q131" s="53" t="s">
        <v>77</v>
      </c>
      <c r="R131" s="53" t="s">
        <v>77</v>
      </c>
      <c r="S131" s="53" t="s">
        <v>77</v>
      </c>
    </row>
    <row r="132" spans="1:20" s="14" customFormat="1" ht="12" customHeight="1" x14ac:dyDescent="0.2">
      <c r="A132" s="485"/>
      <c r="B132" s="92">
        <v>2015</v>
      </c>
      <c r="C132" s="219">
        <v>148000</v>
      </c>
      <c r="D132" s="211" t="s">
        <v>77</v>
      </c>
      <c r="E132" s="231" t="s">
        <v>77</v>
      </c>
      <c r="F132" s="212" t="s">
        <v>85</v>
      </c>
      <c r="G132" s="221" t="s">
        <v>85</v>
      </c>
      <c r="H132" s="212" t="s">
        <v>85</v>
      </c>
      <c r="I132" s="221" t="s">
        <v>85</v>
      </c>
      <c r="J132" s="485"/>
      <c r="K132" s="92">
        <v>2015</v>
      </c>
      <c r="L132" s="212" t="s">
        <v>77</v>
      </c>
      <c r="M132" s="222" t="s">
        <v>77</v>
      </c>
      <c r="N132" s="212" t="s">
        <v>77</v>
      </c>
      <c r="O132" s="212" t="s">
        <v>77</v>
      </c>
      <c r="P132" s="212" t="s">
        <v>77</v>
      </c>
      <c r="Q132" s="212" t="s">
        <v>77</v>
      </c>
      <c r="R132" s="212" t="s">
        <v>77</v>
      </c>
      <c r="S132" s="212" t="s">
        <v>77</v>
      </c>
    </row>
    <row r="133" spans="1:20" s="14" customFormat="1" ht="12" customHeight="1" x14ac:dyDescent="0.2">
      <c r="A133" s="485"/>
      <c r="B133" s="92">
        <v>2016</v>
      </c>
      <c r="C133" s="219">
        <v>141500</v>
      </c>
      <c r="D133" s="211" t="s">
        <v>77</v>
      </c>
      <c r="E133" s="231" t="s">
        <v>77</v>
      </c>
      <c r="F133" s="212" t="s">
        <v>85</v>
      </c>
      <c r="G133" s="221" t="s">
        <v>85</v>
      </c>
      <c r="H133" s="212" t="s">
        <v>85</v>
      </c>
      <c r="I133" s="221" t="s">
        <v>85</v>
      </c>
      <c r="J133" s="487"/>
      <c r="K133" s="92">
        <v>2016</v>
      </c>
      <c r="L133" s="212" t="s">
        <v>77</v>
      </c>
      <c r="M133" s="222" t="s">
        <v>77</v>
      </c>
      <c r="N133" s="212" t="s">
        <v>77</v>
      </c>
      <c r="O133" s="212" t="s">
        <v>77</v>
      </c>
      <c r="P133" s="212" t="s">
        <v>77</v>
      </c>
      <c r="Q133" s="212" t="s">
        <v>77</v>
      </c>
      <c r="R133" s="212" t="s">
        <v>77</v>
      </c>
      <c r="S133" s="212" t="s">
        <v>77</v>
      </c>
    </row>
    <row r="134" spans="1:20" s="14" customFormat="1" ht="12" customHeight="1" x14ac:dyDescent="0.2">
      <c r="A134" s="485"/>
      <c r="B134" s="92">
        <v>2017</v>
      </c>
      <c r="C134" s="219">
        <v>131000</v>
      </c>
      <c r="D134" s="211" t="s">
        <v>85</v>
      </c>
      <c r="E134" s="231" t="s">
        <v>85</v>
      </c>
      <c r="F134" s="212" t="s">
        <v>85</v>
      </c>
      <c r="G134" s="221" t="s">
        <v>85</v>
      </c>
      <c r="H134" s="212" t="s">
        <v>85</v>
      </c>
      <c r="I134" s="221" t="s">
        <v>85</v>
      </c>
      <c r="J134" s="487"/>
      <c r="K134" s="92">
        <v>2017</v>
      </c>
      <c r="L134" s="212" t="s">
        <v>85</v>
      </c>
      <c r="M134" s="222" t="s">
        <v>85</v>
      </c>
      <c r="N134" s="212" t="s">
        <v>85</v>
      </c>
      <c r="O134" s="212" t="s">
        <v>85</v>
      </c>
      <c r="P134" s="212" t="s">
        <v>85</v>
      </c>
      <c r="Q134" s="212" t="s">
        <v>85</v>
      </c>
      <c r="R134" s="212" t="s">
        <v>85</v>
      </c>
      <c r="S134" s="212" t="s">
        <v>85</v>
      </c>
    </row>
    <row r="135" spans="1:20" s="42" customFormat="1" ht="12" customHeight="1" x14ac:dyDescent="0.2">
      <c r="A135" s="485"/>
      <c r="B135" s="52">
        <v>2018</v>
      </c>
      <c r="C135" s="219">
        <v>119650</v>
      </c>
      <c r="D135" s="53" t="s">
        <v>82</v>
      </c>
      <c r="E135" s="231" t="s">
        <v>82</v>
      </c>
      <c r="F135" s="54" t="s">
        <v>82</v>
      </c>
      <c r="G135" s="57" t="s">
        <v>82</v>
      </c>
      <c r="H135" s="54" t="s">
        <v>77</v>
      </c>
      <c r="I135" s="57" t="s">
        <v>77</v>
      </c>
      <c r="J135" s="487"/>
      <c r="K135" s="52">
        <v>2018</v>
      </c>
      <c r="L135" s="54" t="s">
        <v>77</v>
      </c>
      <c r="M135" s="77" t="s">
        <v>77</v>
      </c>
      <c r="N135" s="53" t="s">
        <v>77</v>
      </c>
      <c r="O135" s="53" t="s">
        <v>77</v>
      </c>
      <c r="P135" s="212" t="s">
        <v>85</v>
      </c>
      <c r="Q135" s="212" t="s">
        <v>85</v>
      </c>
      <c r="R135" s="212" t="s">
        <v>85</v>
      </c>
      <c r="S135" s="212" t="s">
        <v>85</v>
      </c>
    </row>
    <row r="136" spans="1:20" s="14" customFormat="1" ht="12" customHeight="1" x14ac:dyDescent="0.2">
      <c r="A136" s="485"/>
      <c r="B136" s="52">
        <v>2019</v>
      </c>
      <c r="C136" s="219">
        <v>123640</v>
      </c>
      <c r="D136" s="53" t="s">
        <v>82</v>
      </c>
      <c r="E136" s="231" t="s">
        <v>82</v>
      </c>
      <c r="F136" s="54" t="s">
        <v>82</v>
      </c>
      <c r="G136" s="57" t="s">
        <v>82</v>
      </c>
      <c r="H136" s="54" t="s">
        <v>77</v>
      </c>
      <c r="I136" s="57" t="s">
        <v>77</v>
      </c>
      <c r="J136" s="485"/>
      <c r="K136" s="52">
        <v>2019</v>
      </c>
      <c r="L136" s="54" t="s">
        <v>77</v>
      </c>
      <c r="M136" s="77" t="s">
        <v>77</v>
      </c>
      <c r="N136" s="53" t="s">
        <v>77</v>
      </c>
      <c r="O136" s="53" t="s">
        <v>77</v>
      </c>
      <c r="P136" s="212" t="s">
        <v>85</v>
      </c>
      <c r="Q136" s="212" t="s">
        <v>85</v>
      </c>
      <c r="R136" s="212" t="s">
        <v>85</v>
      </c>
      <c r="S136" s="212" t="s">
        <v>85</v>
      </c>
    </row>
    <row r="137" spans="1:20" s="42" customFormat="1" ht="12" customHeight="1" x14ac:dyDescent="0.2">
      <c r="A137" s="485"/>
      <c r="B137" s="52">
        <v>2020</v>
      </c>
      <c r="C137" s="219">
        <v>120060</v>
      </c>
      <c r="D137" s="53" t="s">
        <v>82</v>
      </c>
      <c r="E137" s="231" t="s">
        <v>82</v>
      </c>
      <c r="F137" s="54" t="s">
        <v>82</v>
      </c>
      <c r="G137" s="57" t="s">
        <v>82</v>
      </c>
      <c r="H137" s="54" t="s">
        <v>77</v>
      </c>
      <c r="I137" s="57" t="s">
        <v>77</v>
      </c>
      <c r="J137" s="485"/>
      <c r="K137" s="52">
        <v>2020</v>
      </c>
      <c r="L137" s="54" t="s">
        <v>77</v>
      </c>
      <c r="M137" s="77" t="s">
        <v>77</v>
      </c>
      <c r="N137" s="53" t="s">
        <v>77</v>
      </c>
      <c r="O137" s="53" t="s">
        <v>77</v>
      </c>
      <c r="P137" s="212" t="s">
        <v>85</v>
      </c>
      <c r="Q137" s="212" t="s">
        <v>85</v>
      </c>
      <c r="R137" s="212" t="s">
        <v>85</v>
      </c>
      <c r="S137" s="212" t="s">
        <v>85</v>
      </c>
      <c r="T137" s="472"/>
    </row>
    <row r="138" spans="1:20" s="42" customFormat="1" ht="6" customHeight="1" x14ac:dyDescent="0.2">
      <c r="A138" s="485"/>
      <c r="B138" s="52"/>
      <c r="C138" s="219"/>
      <c r="D138" s="53"/>
      <c r="E138" s="231"/>
      <c r="F138" s="54"/>
      <c r="G138" s="57"/>
      <c r="H138" s="54"/>
      <c r="I138" s="57"/>
      <c r="J138" s="485"/>
      <c r="K138" s="52"/>
      <c r="L138" s="54"/>
      <c r="M138" s="77"/>
      <c r="N138" s="53"/>
      <c r="O138" s="53"/>
      <c r="P138" s="212"/>
      <c r="Q138" s="212"/>
      <c r="R138" s="212"/>
      <c r="S138" s="212"/>
      <c r="T138" s="472"/>
    </row>
    <row r="139" spans="1:20" s="42" customFormat="1" ht="12" customHeight="1" x14ac:dyDescent="0.2">
      <c r="A139" s="485"/>
      <c r="B139" s="52"/>
      <c r="C139" s="219"/>
      <c r="D139" s="53"/>
      <c r="E139" s="231"/>
      <c r="F139" s="54"/>
      <c r="G139" s="57"/>
      <c r="H139" s="54"/>
      <c r="I139" s="57"/>
      <c r="J139" s="485"/>
      <c r="K139" s="52"/>
      <c r="L139" s="54"/>
      <c r="M139" s="77"/>
      <c r="N139" s="53"/>
      <c r="O139" s="53"/>
      <c r="P139" s="546" t="s">
        <v>168</v>
      </c>
      <c r="Q139" s="546"/>
      <c r="R139" s="547" t="s">
        <v>169</v>
      </c>
      <c r="S139" s="212"/>
    </row>
    <row r="140" spans="1:20" s="14" customFormat="1" ht="12" customHeight="1" x14ac:dyDescent="0.2">
      <c r="A140" s="485" t="s">
        <v>37</v>
      </c>
      <c r="B140" s="52">
        <v>2011</v>
      </c>
      <c r="C140" s="58">
        <v>71200</v>
      </c>
      <c r="D140" s="53" t="s">
        <v>77</v>
      </c>
      <c r="E140" s="57" t="s">
        <v>77</v>
      </c>
      <c r="F140" s="54">
        <v>71200</v>
      </c>
      <c r="G140" s="57">
        <v>733</v>
      </c>
      <c r="H140" s="54">
        <v>26500</v>
      </c>
      <c r="I140" s="57">
        <v>1060</v>
      </c>
      <c r="J140" s="485" t="s">
        <v>37</v>
      </c>
      <c r="K140" s="52">
        <v>2011</v>
      </c>
      <c r="L140" s="54">
        <v>42000</v>
      </c>
      <c r="M140" s="77">
        <v>556</v>
      </c>
      <c r="N140" s="53" t="s">
        <v>77</v>
      </c>
      <c r="O140" s="53" t="s">
        <v>77</v>
      </c>
      <c r="P140" s="54">
        <v>2200</v>
      </c>
      <c r="Q140" s="77">
        <v>333</v>
      </c>
      <c r="R140" s="54">
        <v>500</v>
      </c>
      <c r="S140" s="222">
        <v>-13</v>
      </c>
    </row>
    <row r="141" spans="1:20" s="14" customFormat="1" ht="12" customHeight="1" x14ac:dyDescent="0.2">
      <c r="A141" s="485"/>
      <c r="B141" s="52">
        <v>2012</v>
      </c>
      <c r="C141" s="58">
        <v>160000</v>
      </c>
      <c r="D141" s="53" t="s">
        <v>77</v>
      </c>
      <c r="E141" s="57" t="s">
        <v>77</v>
      </c>
      <c r="F141" s="54">
        <v>160000</v>
      </c>
      <c r="G141" s="57">
        <v>813</v>
      </c>
      <c r="H141" s="54">
        <v>78500</v>
      </c>
      <c r="I141" s="57">
        <v>1110</v>
      </c>
      <c r="J141" s="485"/>
      <c r="K141" s="52">
        <v>2012</v>
      </c>
      <c r="L141" s="54">
        <v>74000</v>
      </c>
      <c r="M141" s="77">
        <v>550</v>
      </c>
      <c r="N141" s="53" t="s">
        <v>77</v>
      </c>
      <c r="O141" s="53" t="s">
        <v>77</v>
      </c>
      <c r="P141" s="54">
        <v>6400</v>
      </c>
      <c r="Q141" s="77">
        <v>346</v>
      </c>
      <c r="R141" s="54">
        <v>1100</v>
      </c>
      <c r="S141" s="222">
        <v>-10</v>
      </c>
    </row>
    <row r="142" spans="1:20" s="14" customFormat="1" ht="12" customHeight="1" x14ac:dyDescent="0.2">
      <c r="A142" s="485"/>
      <c r="B142" s="52">
        <v>2013</v>
      </c>
      <c r="C142" s="58">
        <v>166000</v>
      </c>
      <c r="D142" s="53" t="s">
        <v>77</v>
      </c>
      <c r="E142" s="57" t="s">
        <v>77</v>
      </c>
      <c r="F142" s="54">
        <v>166000</v>
      </c>
      <c r="G142" s="57">
        <v>813</v>
      </c>
      <c r="H142" s="54">
        <v>78800</v>
      </c>
      <c r="I142" s="57">
        <v>1110</v>
      </c>
      <c r="J142" s="485"/>
      <c r="K142" s="52">
        <v>2013</v>
      </c>
      <c r="L142" s="54">
        <v>75000</v>
      </c>
      <c r="M142" s="77">
        <v>582</v>
      </c>
      <c r="N142" s="53" t="s">
        <v>77</v>
      </c>
      <c r="O142" s="53" t="s">
        <v>77</v>
      </c>
      <c r="P142" s="54">
        <v>10500</v>
      </c>
      <c r="Q142" s="77">
        <v>360</v>
      </c>
      <c r="R142" s="54">
        <v>1700</v>
      </c>
      <c r="S142" s="222">
        <v>-10</v>
      </c>
    </row>
    <row r="143" spans="1:20" s="14" customFormat="1" ht="12" customHeight="1" x14ac:dyDescent="0.2">
      <c r="A143" s="485"/>
      <c r="B143" s="52">
        <v>2014</v>
      </c>
      <c r="C143" s="58">
        <v>95000</v>
      </c>
      <c r="D143" s="53" t="s">
        <v>77</v>
      </c>
      <c r="E143" s="57" t="s">
        <v>77</v>
      </c>
      <c r="F143" s="54">
        <v>95000</v>
      </c>
      <c r="G143" s="57">
        <v>774</v>
      </c>
      <c r="H143" s="54">
        <v>30500</v>
      </c>
      <c r="I143" s="57">
        <v>1170</v>
      </c>
      <c r="J143" s="485"/>
      <c r="K143" s="52">
        <v>2014</v>
      </c>
      <c r="L143" s="54">
        <v>57700</v>
      </c>
      <c r="M143" s="77">
        <v>614</v>
      </c>
      <c r="N143" s="53" t="s">
        <v>77</v>
      </c>
      <c r="O143" s="53" t="s">
        <v>77</v>
      </c>
      <c r="P143" s="54">
        <v>5900</v>
      </c>
      <c r="Q143" s="77">
        <v>415</v>
      </c>
      <c r="R143" s="54">
        <v>900</v>
      </c>
      <c r="S143" s="222">
        <v>-3</v>
      </c>
    </row>
    <row r="144" spans="1:20" s="14" customFormat="1" ht="12" customHeight="1" x14ac:dyDescent="0.2">
      <c r="A144" s="485"/>
      <c r="B144" s="92">
        <v>2015</v>
      </c>
      <c r="C144" s="219">
        <v>179000</v>
      </c>
      <c r="D144" s="212" t="s">
        <v>77</v>
      </c>
      <c r="E144" s="221" t="s">
        <v>77</v>
      </c>
      <c r="F144" s="217">
        <v>179000</v>
      </c>
      <c r="G144" s="221">
        <v>894</v>
      </c>
      <c r="H144" s="217">
        <v>60000</v>
      </c>
      <c r="I144" s="221">
        <v>1300</v>
      </c>
      <c r="J144" s="485"/>
      <c r="K144" s="92">
        <v>2015</v>
      </c>
      <c r="L144" s="217">
        <v>101000</v>
      </c>
      <c r="M144" s="222">
        <v>723</v>
      </c>
      <c r="N144" s="212" t="s">
        <v>77</v>
      </c>
      <c r="O144" s="212" t="s">
        <v>77</v>
      </c>
      <c r="P144" s="217">
        <v>14600</v>
      </c>
      <c r="Q144" s="222">
        <v>619</v>
      </c>
      <c r="R144" s="217">
        <v>3400</v>
      </c>
      <c r="S144" s="222">
        <v>-5</v>
      </c>
    </row>
    <row r="145" spans="1:20" s="14" customFormat="1" ht="12" customHeight="1" x14ac:dyDescent="0.2">
      <c r="A145" s="485"/>
      <c r="B145" s="92">
        <v>2016</v>
      </c>
      <c r="C145" s="219">
        <v>164800</v>
      </c>
      <c r="D145" s="212" t="s">
        <v>77</v>
      </c>
      <c r="E145" s="221" t="s">
        <v>77</v>
      </c>
      <c r="F145" s="217">
        <v>164800</v>
      </c>
      <c r="G145" s="221">
        <v>860</v>
      </c>
      <c r="H145" s="217">
        <v>54000</v>
      </c>
      <c r="I145" s="221">
        <v>1213</v>
      </c>
      <c r="J145" s="485"/>
      <c r="K145" s="92">
        <v>2016</v>
      </c>
      <c r="L145" s="217">
        <v>97700</v>
      </c>
      <c r="M145" s="222">
        <v>706</v>
      </c>
      <c r="N145" s="212" t="s">
        <v>77</v>
      </c>
      <c r="O145" s="212" t="s">
        <v>77</v>
      </c>
      <c r="P145" s="217">
        <v>11100</v>
      </c>
      <c r="Q145" s="222">
        <v>657</v>
      </c>
      <c r="R145" s="217">
        <v>2000</v>
      </c>
      <c r="S145" s="222">
        <v>-5</v>
      </c>
    </row>
    <row r="146" spans="1:20" s="42" customFormat="1" ht="12" customHeight="1" x14ac:dyDescent="0.2">
      <c r="A146" s="485"/>
      <c r="B146" s="92">
        <v>2017</v>
      </c>
      <c r="C146" s="219">
        <v>191700</v>
      </c>
      <c r="D146" s="212" t="s">
        <v>85</v>
      </c>
      <c r="E146" s="221" t="s">
        <v>85</v>
      </c>
      <c r="F146" s="217">
        <v>191700</v>
      </c>
      <c r="G146" s="221">
        <v>974</v>
      </c>
      <c r="H146" s="217">
        <v>70000</v>
      </c>
      <c r="I146" s="221">
        <v>1320</v>
      </c>
      <c r="J146" s="485"/>
      <c r="K146" s="92">
        <v>2017</v>
      </c>
      <c r="L146" s="217">
        <v>101000</v>
      </c>
      <c r="M146" s="222">
        <v>810</v>
      </c>
      <c r="N146" s="212" t="s">
        <v>85</v>
      </c>
      <c r="O146" s="212" t="s">
        <v>85</v>
      </c>
      <c r="P146" s="217">
        <v>17300</v>
      </c>
      <c r="Q146" s="222">
        <v>720</v>
      </c>
      <c r="R146" s="217">
        <v>3400</v>
      </c>
      <c r="S146" s="222">
        <v>-5</v>
      </c>
    </row>
    <row r="147" spans="1:20" s="42" customFormat="1" ht="12" customHeight="1" x14ac:dyDescent="0.2">
      <c r="A147" s="485"/>
      <c r="B147" s="52">
        <v>2018</v>
      </c>
      <c r="C147" s="219">
        <v>52900</v>
      </c>
      <c r="D147" s="212" t="s">
        <v>77</v>
      </c>
      <c r="E147" s="221" t="s">
        <v>77</v>
      </c>
      <c r="F147" s="217">
        <v>52900</v>
      </c>
      <c r="G147" s="221">
        <v>766</v>
      </c>
      <c r="H147" s="217">
        <v>14920</v>
      </c>
      <c r="I147" s="221">
        <v>1270</v>
      </c>
      <c r="J147" s="487"/>
      <c r="K147" s="92">
        <v>2018</v>
      </c>
      <c r="L147" s="217">
        <v>35500</v>
      </c>
      <c r="M147" s="222">
        <v>566</v>
      </c>
      <c r="N147" s="212" t="s">
        <v>77</v>
      </c>
      <c r="O147" s="212" t="s">
        <v>77</v>
      </c>
      <c r="P147" s="217">
        <v>2060</v>
      </c>
      <c r="Q147" s="222">
        <v>720</v>
      </c>
      <c r="R147" s="217">
        <v>420</v>
      </c>
      <c r="S147" s="222">
        <v>-2</v>
      </c>
    </row>
    <row r="148" spans="1:20" s="14" customFormat="1" ht="12" customHeight="1" x14ac:dyDescent="0.2">
      <c r="A148" s="485"/>
      <c r="B148" s="52">
        <v>2019</v>
      </c>
      <c r="C148" s="219">
        <v>164650</v>
      </c>
      <c r="D148" s="212" t="s">
        <v>77</v>
      </c>
      <c r="E148" s="221" t="s">
        <v>77</v>
      </c>
      <c r="F148" s="217">
        <v>164650</v>
      </c>
      <c r="G148" s="221">
        <v>791</v>
      </c>
      <c r="H148" s="217">
        <v>54830</v>
      </c>
      <c r="I148" s="221">
        <v>1040</v>
      </c>
      <c r="J148" s="487"/>
      <c r="K148" s="92">
        <v>2019</v>
      </c>
      <c r="L148" s="217">
        <v>77710</v>
      </c>
      <c r="M148" s="222">
        <v>698</v>
      </c>
      <c r="N148" s="212" t="s">
        <v>77</v>
      </c>
      <c r="O148" s="212" t="s">
        <v>77</v>
      </c>
      <c r="P148" s="217">
        <v>26340</v>
      </c>
      <c r="Q148" s="222">
        <v>720</v>
      </c>
      <c r="R148" s="217">
        <v>5770</v>
      </c>
      <c r="S148" s="222">
        <v>-2</v>
      </c>
    </row>
    <row r="149" spans="1:20" s="42" customFormat="1" ht="12" customHeight="1" x14ac:dyDescent="0.2">
      <c r="A149" s="485"/>
      <c r="B149" s="52">
        <v>2020</v>
      </c>
      <c r="C149" s="219">
        <v>66960</v>
      </c>
      <c r="D149" s="212" t="s">
        <v>77</v>
      </c>
      <c r="E149" s="221" t="s">
        <v>77</v>
      </c>
      <c r="F149" s="217">
        <v>66960</v>
      </c>
      <c r="G149" s="221">
        <v>865</v>
      </c>
      <c r="H149" s="217">
        <v>20020</v>
      </c>
      <c r="I149" s="221">
        <v>1060</v>
      </c>
      <c r="J149" s="487"/>
      <c r="K149" s="92">
        <v>2020</v>
      </c>
      <c r="L149" s="217">
        <v>44190</v>
      </c>
      <c r="M149" s="222">
        <v>791</v>
      </c>
      <c r="N149" s="212" t="s">
        <v>77</v>
      </c>
      <c r="O149" s="212" t="s">
        <v>77</v>
      </c>
      <c r="P149" s="217">
        <v>2410</v>
      </c>
      <c r="Q149" s="222">
        <v>720</v>
      </c>
      <c r="R149" s="217">
        <v>340</v>
      </c>
      <c r="S149" s="222">
        <v>-2</v>
      </c>
      <c r="T149" s="472"/>
    </row>
    <row r="150" spans="1:20" s="42" customFormat="1" ht="12" customHeight="1" x14ac:dyDescent="0.2">
      <c r="A150" s="485"/>
      <c r="B150" s="52"/>
      <c r="C150" s="219"/>
      <c r="D150" s="212"/>
      <c r="E150" s="221"/>
      <c r="F150" s="217"/>
      <c r="G150" s="221"/>
      <c r="H150" s="217"/>
      <c r="I150" s="221"/>
      <c r="J150" s="487"/>
      <c r="K150" s="92"/>
      <c r="L150" s="217"/>
      <c r="M150" s="222"/>
      <c r="N150" s="212"/>
      <c r="O150" s="212"/>
      <c r="P150" s="217"/>
      <c r="Q150" s="222"/>
      <c r="R150" s="217"/>
      <c r="S150" s="222"/>
    </row>
    <row r="151" spans="1:20" s="14" customFormat="1" ht="12" customHeight="1" x14ac:dyDescent="0.2">
      <c r="A151" s="485" t="s">
        <v>38</v>
      </c>
      <c r="B151" s="52">
        <v>2011</v>
      </c>
      <c r="C151" s="58">
        <v>393000</v>
      </c>
      <c r="D151" s="53" t="s">
        <v>77</v>
      </c>
      <c r="E151" s="57" t="s">
        <v>77</v>
      </c>
      <c r="F151" s="54">
        <v>393000</v>
      </c>
      <c r="G151" s="57">
        <v>303</v>
      </c>
      <c r="H151" s="54">
        <v>377000</v>
      </c>
      <c r="I151" s="57">
        <v>307</v>
      </c>
      <c r="J151" s="485" t="s">
        <v>38</v>
      </c>
      <c r="K151" s="52">
        <v>2011</v>
      </c>
      <c r="L151" s="53" t="s">
        <v>77</v>
      </c>
      <c r="M151" s="77" t="s">
        <v>77</v>
      </c>
      <c r="N151" s="53" t="s">
        <v>77</v>
      </c>
      <c r="O151" s="53" t="s">
        <v>77</v>
      </c>
      <c r="P151" s="53" t="s">
        <v>77</v>
      </c>
      <c r="Q151" s="53" t="s">
        <v>77</v>
      </c>
      <c r="R151" s="53" t="s">
        <v>77</v>
      </c>
      <c r="S151" s="53" t="s">
        <v>77</v>
      </c>
    </row>
    <row r="152" spans="1:20" s="14" customFormat="1" ht="12" customHeight="1" x14ac:dyDescent="0.2">
      <c r="A152" s="485"/>
      <c r="B152" s="52">
        <v>2012</v>
      </c>
      <c r="C152" s="58">
        <v>369000</v>
      </c>
      <c r="D152" s="53" t="s">
        <v>77</v>
      </c>
      <c r="E152" s="57" t="s">
        <v>77</v>
      </c>
      <c r="F152" s="54">
        <v>369000</v>
      </c>
      <c r="G152" s="57">
        <v>348</v>
      </c>
      <c r="H152" s="54">
        <v>352000</v>
      </c>
      <c r="I152" s="57">
        <v>347</v>
      </c>
      <c r="J152" s="485"/>
      <c r="K152" s="52">
        <v>2012</v>
      </c>
      <c r="L152" s="53" t="s">
        <v>77</v>
      </c>
      <c r="M152" s="77" t="s">
        <v>77</v>
      </c>
      <c r="N152" s="53" t="s">
        <v>77</v>
      </c>
      <c r="O152" s="53" t="s">
        <v>77</v>
      </c>
      <c r="P152" s="53" t="s">
        <v>77</v>
      </c>
      <c r="Q152" s="53" t="s">
        <v>77</v>
      </c>
      <c r="R152" s="53" t="s">
        <v>77</v>
      </c>
      <c r="S152" s="53" t="s">
        <v>77</v>
      </c>
    </row>
    <row r="153" spans="1:20" s="14" customFormat="1" ht="12" customHeight="1" x14ac:dyDescent="0.2">
      <c r="A153" s="485"/>
      <c r="B153" s="52">
        <v>2013</v>
      </c>
      <c r="C153" s="58">
        <v>368000</v>
      </c>
      <c r="D153" s="53" t="s">
        <v>77</v>
      </c>
      <c r="E153" s="57" t="s">
        <v>77</v>
      </c>
      <c r="F153" s="54">
        <v>368000</v>
      </c>
      <c r="G153" s="57">
        <v>364</v>
      </c>
      <c r="H153" s="54">
        <v>353000</v>
      </c>
      <c r="I153" s="57">
        <v>365</v>
      </c>
      <c r="J153" s="485"/>
      <c r="K153" s="52">
        <v>2013</v>
      </c>
      <c r="L153" s="53" t="s">
        <v>77</v>
      </c>
      <c r="M153" s="77" t="s">
        <v>77</v>
      </c>
      <c r="N153" s="53" t="s">
        <v>77</v>
      </c>
      <c r="O153" s="53" t="s">
        <v>77</v>
      </c>
      <c r="P153" s="53" t="s">
        <v>77</v>
      </c>
      <c r="Q153" s="53" t="s">
        <v>77</v>
      </c>
      <c r="R153" s="53" t="s">
        <v>77</v>
      </c>
      <c r="S153" s="53" t="s">
        <v>77</v>
      </c>
    </row>
    <row r="154" spans="1:20" s="14" customFormat="1" ht="12" customHeight="1" x14ac:dyDescent="0.2">
      <c r="A154" s="485"/>
      <c r="B154" s="52">
        <v>2014</v>
      </c>
      <c r="C154" s="58">
        <v>332000</v>
      </c>
      <c r="D154" s="53" t="s">
        <v>77</v>
      </c>
      <c r="E154" s="57" t="s">
        <v>77</v>
      </c>
      <c r="F154" s="54">
        <v>332000</v>
      </c>
      <c r="G154" s="57">
        <v>369</v>
      </c>
      <c r="H154" s="54">
        <v>317000</v>
      </c>
      <c r="I154" s="57">
        <v>370</v>
      </c>
      <c r="J154" s="485"/>
      <c r="K154" s="52">
        <v>2014</v>
      </c>
      <c r="L154" s="53" t="s">
        <v>77</v>
      </c>
      <c r="M154" s="77" t="s">
        <v>77</v>
      </c>
      <c r="N154" s="53" t="s">
        <v>77</v>
      </c>
      <c r="O154" s="53" t="s">
        <v>77</v>
      </c>
      <c r="P154" s="53" t="s">
        <v>77</v>
      </c>
      <c r="Q154" s="53" t="s">
        <v>77</v>
      </c>
      <c r="R154" s="53" t="s">
        <v>77</v>
      </c>
      <c r="S154" s="53" t="s">
        <v>77</v>
      </c>
    </row>
    <row r="155" spans="1:20" s="14" customFormat="1" ht="12" customHeight="1" x14ac:dyDescent="0.2">
      <c r="A155" s="485"/>
      <c r="B155" s="92">
        <v>2015</v>
      </c>
      <c r="C155" s="219">
        <v>340600</v>
      </c>
      <c r="D155" s="212" t="s">
        <v>77</v>
      </c>
      <c r="E155" s="221" t="s">
        <v>77</v>
      </c>
      <c r="F155" s="217">
        <v>340600</v>
      </c>
      <c r="G155" s="221">
        <v>470</v>
      </c>
      <c r="H155" s="54">
        <v>327000</v>
      </c>
      <c r="I155" s="57">
        <v>472</v>
      </c>
      <c r="J155" s="485"/>
      <c r="K155" s="92">
        <v>2015</v>
      </c>
      <c r="L155" s="212" t="s">
        <v>77</v>
      </c>
      <c r="M155" s="222" t="s">
        <v>77</v>
      </c>
      <c r="N155" s="212" t="s">
        <v>77</v>
      </c>
      <c r="O155" s="212" t="s">
        <v>77</v>
      </c>
      <c r="P155" s="212" t="s">
        <v>77</v>
      </c>
      <c r="Q155" s="212" t="s">
        <v>77</v>
      </c>
      <c r="R155" s="212" t="s">
        <v>77</v>
      </c>
      <c r="S155" s="212" t="s">
        <v>77</v>
      </c>
    </row>
    <row r="156" spans="1:20" s="14" customFormat="1" ht="12" customHeight="1" x14ac:dyDescent="0.2">
      <c r="A156" s="485"/>
      <c r="B156" s="92">
        <v>2016</v>
      </c>
      <c r="C156" s="219">
        <v>322000</v>
      </c>
      <c r="D156" s="212" t="s">
        <v>77</v>
      </c>
      <c r="E156" s="221" t="s">
        <v>77</v>
      </c>
      <c r="F156" s="217">
        <v>322000</v>
      </c>
      <c r="G156" s="221">
        <v>518</v>
      </c>
      <c r="H156" s="54" t="s">
        <v>77</v>
      </c>
      <c r="I156" s="57" t="s">
        <v>77</v>
      </c>
      <c r="J156" s="485"/>
      <c r="K156" s="92">
        <v>2016</v>
      </c>
      <c r="L156" s="212" t="s">
        <v>77</v>
      </c>
      <c r="M156" s="222" t="s">
        <v>77</v>
      </c>
      <c r="N156" s="212" t="s">
        <v>77</v>
      </c>
      <c r="O156" s="212" t="s">
        <v>77</v>
      </c>
      <c r="P156" s="212" t="s">
        <v>77</v>
      </c>
      <c r="Q156" s="212" t="s">
        <v>77</v>
      </c>
      <c r="R156" s="212" t="s">
        <v>77</v>
      </c>
      <c r="S156" s="212" t="s">
        <v>77</v>
      </c>
    </row>
    <row r="157" spans="1:20" s="42" customFormat="1" ht="12" customHeight="1" x14ac:dyDescent="0.2">
      <c r="A157" s="485"/>
      <c r="B157" s="92">
        <v>2017</v>
      </c>
      <c r="C157" s="219">
        <v>296000</v>
      </c>
      <c r="D157" s="212" t="s">
        <v>85</v>
      </c>
      <c r="E157" s="221" t="s">
        <v>85</v>
      </c>
      <c r="F157" s="217">
        <v>296000</v>
      </c>
      <c r="G157" s="221">
        <v>474</v>
      </c>
      <c r="H157" s="212" t="s">
        <v>77</v>
      </c>
      <c r="I157" s="221" t="s">
        <v>77</v>
      </c>
      <c r="J157" s="485"/>
      <c r="K157" s="92">
        <v>2017</v>
      </c>
      <c r="L157" s="212" t="s">
        <v>85</v>
      </c>
      <c r="M157" s="222" t="s">
        <v>85</v>
      </c>
      <c r="N157" s="212" t="s">
        <v>85</v>
      </c>
      <c r="O157" s="212" t="s">
        <v>85</v>
      </c>
      <c r="P157" s="212" t="s">
        <v>85</v>
      </c>
      <c r="Q157" s="212" t="s">
        <v>85</v>
      </c>
      <c r="R157" s="212" t="s">
        <v>85</v>
      </c>
      <c r="S157" s="212" t="s">
        <v>85</v>
      </c>
    </row>
    <row r="158" spans="1:20" s="42" customFormat="1" ht="12" customHeight="1" x14ac:dyDescent="0.2">
      <c r="A158" s="485"/>
      <c r="B158" s="52">
        <v>2018</v>
      </c>
      <c r="C158" s="219">
        <v>256950</v>
      </c>
      <c r="D158" s="217" t="s">
        <v>77</v>
      </c>
      <c r="E158" s="232" t="s">
        <v>77</v>
      </c>
      <c r="F158" s="217">
        <v>256950</v>
      </c>
      <c r="G158" s="221">
        <v>480</v>
      </c>
      <c r="H158" s="53" t="s">
        <v>77</v>
      </c>
      <c r="I158" s="57" t="s">
        <v>77</v>
      </c>
      <c r="J158" s="485"/>
      <c r="K158" s="52">
        <v>2018</v>
      </c>
      <c r="L158" s="53" t="s">
        <v>77</v>
      </c>
      <c r="M158" s="53" t="s">
        <v>77</v>
      </c>
      <c r="N158" s="53" t="s">
        <v>77</v>
      </c>
      <c r="O158" s="53" t="s">
        <v>77</v>
      </c>
      <c r="P158" s="53" t="s">
        <v>77</v>
      </c>
      <c r="Q158" s="53" t="s">
        <v>77</v>
      </c>
      <c r="R158" s="53" t="s">
        <v>77</v>
      </c>
      <c r="S158" s="53" t="s">
        <v>77</v>
      </c>
    </row>
    <row r="159" spans="1:20" s="42" customFormat="1" ht="12" customHeight="1" x14ac:dyDescent="0.2">
      <c r="A159" s="485"/>
      <c r="B159" s="52">
        <v>2019</v>
      </c>
      <c r="C159" s="219">
        <v>263200</v>
      </c>
      <c r="D159" s="217" t="s">
        <v>77</v>
      </c>
      <c r="E159" s="232" t="s">
        <v>77</v>
      </c>
      <c r="F159" s="217">
        <v>263200</v>
      </c>
      <c r="G159" s="221">
        <v>470</v>
      </c>
      <c r="H159" s="53" t="s">
        <v>77</v>
      </c>
      <c r="I159" s="57" t="s">
        <v>77</v>
      </c>
      <c r="J159" s="485"/>
      <c r="K159" s="52">
        <v>2019</v>
      </c>
      <c r="L159" s="53" t="s">
        <v>77</v>
      </c>
      <c r="M159" s="53" t="s">
        <v>77</v>
      </c>
      <c r="N159" s="53" t="s">
        <v>77</v>
      </c>
      <c r="O159" s="53" t="s">
        <v>77</v>
      </c>
      <c r="P159" s="53" t="s">
        <v>77</v>
      </c>
      <c r="Q159" s="53" t="s">
        <v>77</v>
      </c>
      <c r="R159" s="53" t="s">
        <v>77</v>
      </c>
      <c r="S159" s="53" t="s">
        <v>77</v>
      </c>
    </row>
    <row r="160" spans="1:20" s="42" customFormat="1" ht="12" customHeight="1" x14ac:dyDescent="0.2">
      <c r="A160" s="485"/>
      <c r="B160" s="52">
        <v>2020</v>
      </c>
      <c r="C160" s="219">
        <f>247500</f>
        <v>247500</v>
      </c>
      <c r="D160" s="217" t="s">
        <v>77</v>
      </c>
      <c r="E160" s="232" t="s">
        <v>77</v>
      </c>
      <c r="F160" s="217">
        <v>247500</v>
      </c>
      <c r="G160" s="221">
        <v>470</v>
      </c>
      <c r="H160" s="53" t="s">
        <v>77</v>
      </c>
      <c r="I160" s="57" t="s">
        <v>77</v>
      </c>
      <c r="J160" s="485"/>
      <c r="K160" s="52">
        <v>2020</v>
      </c>
      <c r="L160" s="53" t="s">
        <v>77</v>
      </c>
      <c r="M160" s="53" t="s">
        <v>77</v>
      </c>
      <c r="N160" s="53" t="s">
        <v>77</v>
      </c>
      <c r="O160" s="53" t="s">
        <v>77</v>
      </c>
      <c r="P160" s="53" t="s">
        <v>77</v>
      </c>
      <c r="Q160" s="53" t="s">
        <v>77</v>
      </c>
      <c r="R160" s="53" t="s">
        <v>77</v>
      </c>
      <c r="S160" s="53" t="s">
        <v>77</v>
      </c>
      <c r="T160" s="472"/>
    </row>
    <row r="161" spans="1:20" s="42" customFormat="1" ht="12" customHeight="1" x14ac:dyDescent="0.2">
      <c r="A161" s="485"/>
      <c r="B161" s="52"/>
      <c r="C161" s="219"/>
      <c r="D161" s="217"/>
      <c r="E161" s="232"/>
      <c r="F161" s="217"/>
      <c r="G161" s="221"/>
      <c r="H161" s="53"/>
      <c r="I161" s="57"/>
      <c r="J161" s="485"/>
      <c r="K161" s="52"/>
      <c r="L161" s="53"/>
      <c r="M161" s="53"/>
      <c r="N161" s="53"/>
      <c r="O161" s="53"/>
      <c r="P161" s="53"/>
      <c r="Q161" s="53"/>
      <c r="R161" s="53"/>
      <c r="S161" s="53"/>
    </row>
    <row r="162" spans="1:20" s="42" customFormat="1" ht="12" customHeight="1" x14ac:dyDescent="0.2">
      <c r="A162" s="485" t="s">
        <v>194</v>
      </c>
      <c r="B162" s="52">
        <v>2011</v>
      </c>
      <c r="C162" s="58">
        <v>380000</v>
      </c>
      <c r="D162" s="54">
        <v>282000</v>
      </c>
      <c r="E162" s="57">
        <v>525</v>
      </c>
      <c r="F162" s="54">
        <v>98000</v>
      </c>
      <c r="G162" s="57">
        <v>233</v>
      </c>
      <c r="H162" s="53" t="s">
        <v>85</v>
      </c>
      <c r="I162" s="57" t="s">
        <v>85</v>
      </c>
      <c r="J162" s="485" t="s">
        <v>194</v>
      </c>
      <c r="K162" s="52">
        <v>2011</v>
      </c>
      <c r="L162" s="53" t="s">
        <v>77</v>
      </c>
      <c r="M162" s="77" t="s">
        <v>77</v>
      </c>
      <c r="N162" s="54">
        <v>84600</v>
      </c>
      <c r="O162" s="77">
        <v>240</v>
      </c>
      <c r="P162" s="54">
        <v>4600</v>
      </c>
      <c r="Q162" s="77">
        <v>42</v>
      </c>
      <c r="R162" s="54">
        <v>470</v>
      </c>
      <c r="S162" s="57">
        <v>411</v>
      </c>
    </row>
    <row r="163" spans="1:20" s="42" customFormat="1" ht="12" customHeight="1" x14ac:dyDescent="0.2">
      <c r="A163" s="485"/>
      <c r="B163" s="52">
        <v>2012</v>
      </c>
      <c r="C163" s="58">
        <v>344000</v>
      </c>
      <c r="D163" s="54">
        <v>250000</v>
      </c>
      <c r="E163" s="57">
        <v>726</v>
      </c>
      <c r="F163" s="54">
        <v>94000</v>
      </c>
      <c r="G163" s="57">
        <v>242</v>
      </c>
      <c r="H163" s="53" t="s">
        <v>85</v>
      </c>
      <c r="I163" s="57" t="s">
        <v>85</v>
      </c>
      <c r="J163" s="485"/>
      <c r="K163" s="52">
        <v>2012</v>
      </c>
      <c r="L163" s="53" t="s">
        <v>77</v>
      </c>
      <c r="M163" s="77" t="s">
        <v>77</v>
      </c>
      <c r="N163" s="54">
        <v>75200</v>
      </c>
      <c r="O163" s="77">
        <v>245</v>
      </c>
      <c r="P163" s="54">
        <v>9800</v>
      </c>
      <c r="Q163" s="77">
        <v>41</v>
      </c>
      <c r="R163" s="54">
        <v>1230</v>
      </c>
      <c r="S163" s="57">
        <v>327</v>
      </c>
    </row>
    <row r="164" spans="1:20" s="42" customFormat="1" ht="12" customHeight="1" x14ac:dyDescent="0.2">
      <c r="A164" s="485"/>
      <c r="B164" s="52">
        <v>2013</v>
      </c>
      <c r="C164" s="58">
        <v>280000</v>
      </c>
      <c r="D164" s="54">
        <v>174000</v>
      </c>
      <c r="E164" s="57">
        <v>670</v>
      </c>
      <c r="F164" s="54">
        <v>106000</v>
      </c>
      <c r="G164" s="57">
        <v>272</v>
      </c>
      <c r="H164" s="53" t="s">
        <v>85</v>
      </c>
      <c r="I164" s="57" t="s">
        <v>85</v>
      </c>
      <c r="J164" s="485"/>
      <c r="K164" s="52">
        <v>2013</v>
      </c>
      <c r="L164" s="53" t="s">
        <v>85</v>
      </c>
      <c r="M164" s="77" t="s">
        <v>85</v>
      </c>
      <c r="N164" s="54">
        <v>88100</v>
      </c>
      <c r="O164" s="77">
        <v>283</v>
      </c>
      <c r="P164" s="54">
        <v>4200</v>
      </c>
      <c r="Q164" s="77">
        <v>42</v>
      </c>
      <c r="R164" s="54">
        <v>420</v>
      </c>
      <c r="S164" s="57">
        <v>420</v>
      </c>
    </row>
    <row r="165" spans="1:20" s="42" customFormat="1" ht="12" customHeight="1" x14ac:dyDescent="0.2">
      <c r="A165" s="485"/>
      <c r="B165" s="52">
        <v>2014</v>
      </c>
      <c r="C165" s="58">
        <v>288000</v>
      </c>
      <c r="D165" s="54">
        <v>191200</v>
      </c>
      <c r="E165" s="57">
        <v>1060</v>
      </c>
      <c r="F165" s="54">
        <v>96800</v>
      </c>
      <c r="G165" s="57">
        <v>322</v>
      </c>
      <c r="H165" s="53" t="s">
        <v>85</v>
      </c>
      <c r="I165" s="57" t="s">
        <v>85</v>
      </c>
      <c r="J165" s="485"/>
      <c r="K165" s="52">
        <v>2014</v>
      </c>
      <c r="L165" s="53" t="s">
        <v>85</v>
      </c>
      <c r="M165" s="77" t="s">
        <v>85</v>
      </c>
      <c r="N165" s="54">
        <v>82600</v>
      </c>
      <c r="O165" s="77">
        <v>340</v>
      </c>
      <c r="P165" s="54">
        <v>4700</v>
      </c>
      <c r="Q165" s="77">
        <v>64</v>
      </c>
      <c r="R165" s="54">
        <v>610</v>
      </c>
      <c r="S165" s="57">
        <v>493</v>
      </c>
    </row>
    <row r="166" spans="1:20" s="42" customFormat="1" ht="12" customHeight="1" x14ac:dyDescent="0.2">
      <c r="A166" s="485"/>
      <c r="B166" s="92">
        <v>2015</v>
      </c>
      <c r="C166" s="219">
        <v>264000</v>
      </c>
      <c r="D166" s="217">
        <v>151000</v>
      </c>
      <c r="E166" s="221">
        <v>900</v>
      </c>
      <c r="F166" s="217">
        <v>113000</v>
      </c>
      <c r="G166" s="221">
        <v>385</v>
      </c>
      <c r="H166" s="212" t="s">
        <v>85</v>
      </c>
      <c r="I166" s="221" t="s">
        <v>85</v>
      </c>
      <c r="J166" s="485"/>
      <c r="K166" s="92">
        <v>2015</v>
      </c>
      <c r="L166" s="212" t="s">
        <v>85</v>
      </c>
      <c r="M166" s="222" t="s">
        <v>85</v>
      </c>
      <c r="N166" s="217">
        <v>98000</v>
      </c>
      <c r="O166" s="222">
        <v>405</v>
      </c>
      <c r="P166" s="217">
        <v>6900</v>
      </c>
      <c r="Q166" s="222">
        <v>75</v>
      </c>
      <c r="R166" s="217">
        <v>880</v>
      </c>
      <c r="S166" s="221">
        <v>588</v>
      </c>
    </row>
    <row r="167" spans="1:20" s="42" customFormat="1" ht="12" customHeight="1" x14ac:dyDescent="0.2">
      <c r="A167" s="485"/>
      <c r="B167" s="92">
        <v>2016</v>
      </c>
      <c r="C167" s="219">
        <v>247000</v>
      </c>
      <c r="D167" s="217">
        <v>141000</v>
      </c>
      <c r="E167" s="221">
        <v>990</v>
      </c>
      <c r="F167" s="217">
        <v>106000</v>
      </c>
      <c r="G167" s="221">
        <v>415</v>
      </c>
      <c r="H167" s="212" t="s">
        <v>85</v>
      </c>
      <c r="I167" s="221" t="s">
        <v>85</v>
      </c>
      <c r="J167" s="485"/>
      <c r="K167" s="92">
        <v>2016</v>
      </c>
      <c r="L167" s="212" t="s">
        <v>85</v>
      </c>
      <c r="M167" s="222" t="s">
        <v>85</v>
      </c>
      <c r="N167" s="217">
        <v>88100</v>
      </c>
      <c r="O167" s="222">
        <v>447</v>
      </c>
      <c r="P167" s="217">
        <v>9600</v>
      </c>
      <c r="Q167" s="222">
        <v>82</v>
      </c>
      <c r="R167" s="217">
        <v>1350</v>
      </c>
      <c r="S167" s="221">
        <v>583</v>
      </c>
    </row>
    <row r="168" spans="1:20" s="42" customFormat="1" ht="12" customHeight="1" x14ac:dyDescent="0.2">
      <c r="A168" s="485"/>
      <c r="B168" s="484">
        <v>2017</v>
      </c>
      <c r="C168" s="219">
        <v>254000</v>
      </c>
      <c r="D168" s="217">
        <v>185000</v>
      </c>
      <c r="E168" s="221">
        <v>1180</v>
      </c>
      <c r="F168" s="217">
        <v>69000</v>
      </c>
      <c r="G168" s="221">
        <v>393</v>
      </c>
      <c r="H168" s="212" t="s">
        <v>77</v>
      </c>
      <c r="I168" s="221" t="s">
        <v>85</v>
      </c>
      <c r="J168" s="485"/>
      <c r="K168" s="484">
        <v>2017</v>
      </c>
      <c r="L168" s="212" t="s">
        <v>77</v>
      </c>
      <c r="M168" s="222" t="s">
        <v>77</v>
      </c>
      <c r="N168" s="217">
        <v>53200</v>
      </c>
      <c r="O168" s="222">
        <v>427</v>
      </c>
      <c r="P168" s="217">
        <v>6900</v>
      </c>
      <c r="Q168" s="222">
        <v>51</v>
      </c>
      <c r="R168" s="217" t="s">
        <v>77</v>
      </c>
      <c r="S168" s="221" t="s">
        <v>93</v>
      </c>
    </row>
    <row r="169" spans="1:20" s="42" customFormat="1" ht="12" customHeight="1" x14ac:dyDescent="0.2">
      <c r="A169" s="486"/>
      <c r="B169" s="395">
        <v>2018</v>
      </c>
      <c r="C169" s="398">
        <v>218920</v>
      </c>
      <c r="D169" s="233">
        <v>134000</v>
      </c>
      <c r="E169" s="397">
        <v>1090</v>
      </c>
      <c r="F169" s="233">
        <v>84920</v>
      </c>
      <c r="G169" s="397">
        <v>410</v>
      </c>
      <c r="H169" s="235" t="s">
        <v>77</v>
      </c>
      <c r="I169" s="397" t="s">
        <v>85</v>
      </c>
      <c r="J169" s="486"/>
      <c r="K169" s="395">
        <v>2018</v>
      </c>
      <c r="L169" s="235" t="s">
        <v>77</v>
      </c>
      <c r="M169" s="250" t="s">
        <v>77</v>
      </c>
      <c r="N169" s="233" t="s">
        <v>77</v>
      </c>
      <c r="O169" s="250" t="s">
        <v>77</v>
      </c>
      <c r="P169" s="233" t="s">
        <v>77</v>
      </c>
      <c r="Q169" s="250" t="s">
        <v>77</v>
      </c>
      <c r="R169" s="233" t="s">
        <v>77</v>
      </c>
      <c r="S169" s="397" t="s">
        <v>93</v>
      </c>
    </row>
    <row r="170" spans="1:20" s="42" customFormat="1" ht="12" customHeight="1" x14ac:dyDescent="0.2">
      <c r="A170" s="485"/>
      <c r="B170" s="395">
        <v>2019</v>
      </c>
      <c r="C170" s="398">
        <v>231900</v>
      </c>
      <c r="D170" s="233">
        <v>114900</v>
      </c>
      <c r="E170" s="397">
        <v>1070</v>
      </c>
      <c r="F170" s="233">
        <v>117000</v>
      </c>
      <c r="G170" s="397">
        <v>422</v>
      </c>
      <c r="H170" s="235" t="s">
        <v>77</v>
      </c>
      <c r="I170" s="397" t="s">
        <v>85</v>
      </c>
      <c r="J170" s="485"/>
      <c r="K170" s="395">
        <v>2019</v>
      </c>
      <c r="L170" s="235" t="s">
        <v>77</v>
      </c>
      <c r="M170" s="250" t="s">
        <v>77</v>
      </c>
      <c r="N170" s="233" t="s">
        <v>77</v>
      </c>
      <c r="O170" s="250" t="s">
        <v>77</v>
      </c>
      <c r="P170" s="233" t="s">
        <v>77</v>
      </c>
      <c r="Q170" s="250" t="s">
        <v>77</v>
      </c>
      <c r="R170" s="233" t="s">
        <v>77</v>
      </c>
      <c r="S170" s="397" t="s">
        <v>93</v>
      </c>
    </row>
    <row r="171" spans="1:20" s="42" customFormat="1" ht="12" customHeight="1" x14ac:dyDescent="0.2">
      <c r="A171" s="488"/>
      <c r="B171" s="128">
        <v>2020</v>
      </c>
      <c r="C171" s="422">
        <f>128250+90200</f>
        <v>218450</v>
      </c>
      <c r="D171" s="227">
        <v>128250</v>
      </c>
      <c r="E171" s="228">
        <v>1220</v>
      </c>
      <c r="F171" s="227">
        <v>90200</v>
      </c>
      <c r="G171" s="228">
        <v>394</v>
      </c>
      <c r="H171" s="229" t="s">
        <v>77</v>
      </c>
      <c r="I171" s="228" t="s">
        <v>85</v>
      </c>
      <c r="J171" s="488"/>
      <c r="K171" s="128">
        <v>2020</v>
      </c>
      <c r="L171" s="229" t="s">
        <v>77</v>
      </c>
      <c r="M171" s="438" t="s">
        <v>77</v>
      </c>
      <c r="N171" s="227" t="s">
        <v>77</v>
      </c>
      <c r="O171" s="438" t="s">
        <v>77</v>
      </c>
      <c r="P171" s="227" t="s">
        <v>77</v>
      </c>
      <c r="Q171" s="438" t="s">
        <v>77</v>
      </c>
      <c r="R171" s="227" t="s">
        <v>77</v>
      </c>
      <c r="S171" s="228" t="s">
        <v>93</v>
      </c>
      <c r="T171" s="472"/>
    </row>
    <row r="172" spans="1:20" s="42" customFormat="1" ht="3" customHeight="1" x14ac:dyDescent="0.2">
      <c r="A172" s="485"/>
      <c r="B172" s="52"/>
      <c r="C172" s="58"/>
      <c r="D172" s="54"/>
      <c r="E172" s="57"/>
      <c r="F172" s="54"/>
      <c r="G172" s="57"/>
      <c r="H172" s="53"/>
      <c r="I172" s="57"/>
      <c r="J172" s="485"/>
      <c r="K172" s="52"/>
      <c r="L172" s="53"/>
      <c r="M172" s="77"/>
      <c r="N172" s="54"/>
      <c r="O172" s="77"/>
      <c r="P172" s="54"/>
      <c r="Q172" s="77"/>
      <c r="R172" s="54"/>
      <c r="S172" s="57"/>
    </row>
    <row r="173" spans="1:20" s="42" customFormat="1" ht="12" customHeight="1" x14ac:dyDescent="0.2">
      <c r="A173" s="485" t="s">
        <v>195</v>
      </c>
      <c r="B173" s="52">
        <v>2011</v>
      </c>
      <c r="C173" s="58">
        <v>773000</v>
      </c>
      <c r="D173" s="54">
        <v>282000</v>
      </c>
      <c r="E173" s="57">
        <v>525</v>
      </c>
      <c r="F173" s="54">
        <v>491000</v>
      </c>
      <c r="G173" s="57">
        <v>287</v>
      </c>
      <c r="H173" s="53" t="s">
        <v>85</v>
      </c>
      <c r="I173" s="57" t="s">
        <v>85</v>
      </c>
      <c r="J173" s="485" t="s">
        <v>195</v>
      </c>
      <c r="K173" s="52">
        <v>2011</v>
      </c>
      <c r="L173" s="53" t="s">
        <v>77</v>
      </c>
      <c r="M173" s="77" t="s">
        <v>77</v>
      </c>
      <c r="N173" s="54">
        <v>84600</v>
      </c>
      <c r="O173" s="77">
        <v>240</v>
      </c>
      <c r="P173" s="54">
        <v>4600</v>
      </c>
      <c r="Q173" s="77">
        <v>42</v>
      </c>
      <c r="R173" s="54">
        <v>470</v>
      </c>
      <c r="S173" s="57">
        <v>411</v>
      </c>
    </row>
    <row r="174" spans="1:20" s="42" customFormat="1" ht="12" customHeight="1" x14ac:dyDescent="0.2">
      <c r="A174" s="485"/>
      <c r="B174" s="52">
        <v>2012</v>
      </c>
      <c r="C174" s="58">
        <v>713000</v>
      </c>
      <c r="D174" s="54">
        <v>250000</v>
      </c>
      <c r="E174" s="57">
        <v>726</v>
      </c>
      <c r="F174" s="54">
        <v>463000</v>
      </c>
      <c r="G174" s="57">
        <v>322</v>
      </c>
      <c r="H174" s="53" t="s">
        <v>85</v>
      </c>
      <c r="I174" s="57" t="s">
        <v>85</v>
      </c>
      <c r="J174" s="485"/>
      <c r="K174" s="52">
        <v>2012</v>
      </c>
      <c r="L174" s="53" t="s">
        <v>77</v>
      </c>
      <c r="M174" s="77" t="s">
        <v>77</v>
      </c>
      <c r="N174" s="54">
        <v>75200</v>
      </c>
      <c r="O174" s="77">
        <v>245</v>
      </c>
      <c r="P174" s="54">
        <v>9800</v>
      </c>
      <c r="Q174" s="77">
        <v>41</v>
      </c>
      <c r="R174" s="54">
        <v>1230</v>
      </c>
      <c r="S174" s="57">
        <v>327</v>
      </c>
    </row>
    <row r="175" spans="1:20" s="42" customFormat="1" ht="12" customHeight="1" x14ac:dyDescent="0.2">
      <c r="A175" s="485"/>
      <c r="B175" s="52">
        <v>2013</v>
      </c>
      <c r="C175" s="58">
        <v>648000</v>
      </c>
      <c r="D175" s="54">
        <v>174000</v>
      </c>
      <c r="E175" s="57">
        <v>670</v>
      </c>
      <c r="F175" s="54">
        <v>474000</v>
      </c>
      <c r="G175" s="57">
        <v>343</v>
      </c>
      <c r="H175" s="53" t="s">
        <v>85</v>
      </c>
      <c r="I175" s="57" t="s">
        <v>85</v>
      </c>
      <c r="J175" s="485"/>
      <c r="K175" s="52">
        <v>2013</v>
      </c>
      <c r="L175" s="53" t="s">
        <v>85</v>
      </c>
      <c r="M175" s="77" t="s">
        <v>85</v>
      </c>
      <c r="N175" s="54">
        <v>88100</v>
      </c>
      <c r="O175" s="77">
        <v>283</v>
      </c>
      <c r="P175" s="54">
        <v>4200</v>
      </c>
      <c r="Q175" s="77">
        <v>42</v>
      </c>
      <c r="R175" s="54">
        <v>420</v>
      </c>
      <c r="S175" s="57">
        <v>420</v>
      </c>
    </row>
    <row r="176" spans="1:20" s="42" customFormat="1" ht="12" customHeight="1" x14ac:dyDescent="0.2">
      <c r="A176" s="485"/>
      <c r="B176" s="52">
        <v>2014</v>
      </c>
      <c r="C176" s="58">
        <v>620000</v>
      </c>
      <c r="D176" s="54">
        <v>191200</v>
      </c>
      <c r="E176" s="57">
        <v>1060</v>
      </c>
      <c r="F176" s="54">
        <v>428800</v>
      </c>
      <c r="G176" s="57">
        <v>359</v>
      </c>
      <c r="H176" s="54" t="s">
        <v>85</v>
      </c>
      <c r="I176" s="57" t="s">
        <v>85</v>
      </c>
      <c r="J176" s="485"/>
      <c r="K176" s="52">
        <v>2014</v>
      </c>
      <c r="L176" s="53" t="s">
        <v>85</v>
      </c>
      <c r="M176" s="77" t="s">
        <v>85</v>
      </c>
      <c r="N176" s="54">
        <v>82600</v>
      </c>
      <c r="O176" s="77">
        <v>340</v>
      </c>
      <c r="P176" s="54">
        <v>4700</v>
      </c>
      <c r="Q176" s="77">
        <v>64</v>
      </c>
      <c r="R176" s="54">
        <v>610</v>
      </c>
      <c r="S176" s="57">
        <v>493</v>
      </c>
    </row>
    <row r="177" spans="1:20" s="42" customFormat="1" ht="12" customHeight="1" x14ac:dyDescent="0.2">
      <c r="A177" s="485"/>
      <c r="B177" s="92">
        <v>2015</v>
      </c>
      <c r="C177" s="219">
        <v>604600</v>
      </c>
      <c r="D177" s="217">
        <v>151000</v>
      </c>
      <c r="E177" s="221">
        <v>900</v>
      </c>
      <c r="F177" s="217">
        <v>453600</v>
      </c>
      <c r="G177" s="221">
        <v>449</v>
      </c>
      <c r="H177" s="217" t="s">
        <v>85</v>
      </c>
      <c r="I177" s="221" t="s">
        <v>85</v>
      </c>
      <c r="J177" s="485"/>
      <c r="K177" s="92">
        <v>2015</v>
      </c>
      <c r="L177" s="212" t="s">
        <v>85</v>
      </c>
      <c r="M177" s="222" t="s">
        <v>85</v>
      </c>
      <c r="N177" s="217">
        <v>98000</v>
      </c>
      <c r="O177" s="222">
        <v>405</v>
      </c>
      <c r="P177" s="217">
        <v>6900</v>
      </c>
      <c r="Q177" s="222">
        <v>75</v>
      </c>
      <c r="R177" s="217">
        <v>880</v>
      </c>
      <c r="S177" s="221">
        <v>588</v>
      </c>
    </row>
    <row r="178" spans="1:20" s="42" customFormat="1" ht="12" customHeight="1" x14ac:dyDescent="0.2">
      <c r="A178" s="485"/>
      <c r="B178" s="92">
        <v>2016</v>
      </c>
      <c r="C178" s="219">
        <v>569000</v>
      </c>
      <c r="D178" s="217">
        <v>141000</v>
      </c>
      <c r="E178" s="221">
        <v>990</v>
      </c>
      <c r="F178" s="217">
        <v>428000</v>
      </c>
      <c r="G178" s="221">
        <v>492</v>
      </c>
      <c r="H178" s="217" t="s">
        <v>85</v>
      </c>
      <c r="I178" s="221" t="s">
        <v>85</v>
      </c>
      <c r="J178" s="487"/>
      <c r="K178" s="92">
        <v>2016</v>
      </c>
      <c r="L178" s="212" t="s">
        <v>77</v>
      </c>
      <c r="M178" s="222" t="s">
        <v>77</v>
      </c>
      <c r="N178" s="217">
        <v>88100</v>
      </c>
      <c r="O178" s="222">
        <v>447</v>
      </c>
      <c r="P178" s="217">
        <v>9600</v>
      </c>
      <c r="Q178" s="222">
        <v>82</v>
      </c>
      <c r="R178" s="217">
        <v>1350</v>
      </c>
      <c r="S178" s="221">
        <v>583</v>
      </c>
    </row>
    <row r="179" spans="1:20" s="42" customFormat="1" ht="12" customHeight="1" x14ac:dyDescent="0.2">
      <c r="A179" s="485"/>
      <c r="B179" s="92">
        <v>2017</v>
      </c>
      <c r="C179" s="219">
        <v>550000</v>
      </c>
      <c r="D179" s="217">
        <v>185000</v>
      </c>
      <c r="E179" s="221">
        <v>1180</v>
      </c>
      <c r="F179" s="217">
        <v>365000</v>
      </c>
      <c r="G179" s="221">
        <v>459</v>
      </c>
      <c r="H179" s="217" t="s">
        <v>77</v>
      </c>
      <c r="I179" s="221" t="s">
        <v>77</v>
      </c>
      <c r="J179" s="487"/>
      <c r="K179" s="92">
        <v>2017</v>
      </c>
      <c r="L179" s="212" t="s">
        <v>77</v>
      </c>
      <c r="M179" s="222" t="s">
        <v>77</v>
      </c>
      <c r="N179" s="217">
        <v>53200</v>
      </c>
      <c r="O179" s="221">
        <v>427</v>
      </c>
      <c r="P179" s="217">
        <v>6900</v>
      </c>
      <c r="Q179" s="221">
        <v>51</v>
      </c>
      <c r="R179" s="217" t="s">
        <v>77</v>
      </c>
      <c r="S179" s="221" t="s">
        <v>77</v>
      </c>
    </row>
    <row r="180" spans="1:20" s="42" customFormat="1" ht="12" customHeight="1" x14ac:dyDescent="0.2">
      <c r="A180" s="485"/>
      <c r="B180" s="52">
        <v>2018</v>
      </c>
      <c r="C180" s="219">
        <v>475870</v>
      </c>
      <c r="D180" s="217">
        <v>134000</v>
      </c>
      <c r="E180" s="221">
        <v>1090</v>
      </c>
      <c r="F180" s="217">
        <v>341870</v>
      </c>
      <c r="G180" s="221">
        <v>463</v>
      </c>
      <c r="H180" s="54" t="s">
        <v>77</v>
      </c>
      <c r="I180" s="57" t="s">
        <v>77</v>
      </c>
      <c r="J180" s="487"/>
      <c r="K180" s="52">
        <v>2018</v>
      </c>
      <c r="L180" s="53" t="s">
        <v>77</v>
      </c>
      <c r="M180" s="77" t="s">
        <v>77</v>
      </c>
      <c r="N180" s="54" t="s">
        <v>77</v>
      </c>
      <c r="O180" s="54" t="s">
        <v>77</v>
      </c>
      <c r="P180" s="54" t="s">
        <v>77</v>
      </c>
      <c r="Q180" s="77" t="s">
        <v>77</v>
      </c>
      <c r="R180" s="53" t="s">
        <v>77</v>
      </c>
      <c r="S180" s="57" t="s">
        <v>77</v>
      </c>
    </row>
    <row r="181" spans="1:20" s="42" customFormat="1" ht="12" customHeight="1" x14ac:dyDescent="0.2">
      <c r="A181" s="485"/>
      <c r="B181" s="52">
        <v>2019</v>
      </c>
      <c r="C181" s="219">
        <v>495100</v>
      </c>
      <c r="D181" s="217">
        <v>114900</v>
      </c>
      <c r="E181" s="221">
        <v>1070</v>
      </c>
      <c r="F181" s="217">
        <v>380200</v>
      </c>
      <c r="G181" s="221">
        <v>455</v>
      </c>
      <c r="H181" s="54" t="s">
        <v>77</v>
      </c>
      <c r="I181" s="57" t="s">
        <v>77</v>
      </c>
      <c r="J181" s="485"/>
      <c r="K181" s="52">
        <v>2019</v>
      </c>
      <c r="L181" s="53" t="s">
        <v>77</v>
      </c>
      <c r="M181" s="77" t="s">
        <v>77</v>
      </c>
      <c r="N181" s="54" t="s">
        <v>77</v>
      </c>
      <c r="O181" s="54" t="s">
        <v>77</v>
      </c>
      <c r="P181" s="54" t="s">
        <v>77</v>
      </c>
      <c r="Q181" s="77" t="s">
        <v>77</v>
      </c>
      <c r="R181" s="53" t="s">
        <v>77</v>
      </c>
      <c r="S181" s="57" t="s">
        <v>77</v>
      </c>
    </row>
    <row r="182" spans="1:20" s="42" customFormat="1" ht="12" customHeight="1" x14ac:dyDescent="0.2">
      <c r="A182" s="485"/>
      <c r="B182" s="52">
        <v>2020</v>
      </c>
      <c r="C182" s="219">
        <f>128250+337700</f>
        <v>465950</v>
      </c>
      <c r="D182" s="217">
        <v>128250</v>
      </c>
      <c r="E182" s="221">
        <v>1220</v>
      </c>
      <c r="F182" s="217">
        <v>337700</v>
      </c>
      <c r="G182" s="221">
        <v>450</v>
      </c>
      <c r="H182" s="54" t="s">
        <v>77</v>
      </c>
      <c r="I182" s="57" t="s">
        <v>77</v>
      </c>
      <c r="J182" s="485"/>
      <c r="K182" s="52">
        <v>2020</v>
      </c>
      <c r="L182" s="53" t="s">
        <v>77</v>
      </c>
      <c r="M182" s="77" t="s">
        <v>77</v>
      </c>
      <c r="N182" s="54" t="s">
        <v>77</v>
      </c>
      <c r="O182" s="54" t="s">
        <v>77</v>
      </c>
      <c r="P182" s="54" t="s">
        <v>77</v>
      </c>
      <c r="Q182" s="77" t="s">
        <v>77</v>
      </c>
      <c r="R182" s="53" t="s">
        <v>77</v>
      </c>
      <c r="S182" s="57" t="s">
        <v>77</v>
      </c>
      <c r="T182" s="472"/>
    </row>
    <row r="183" spans="1:20" s="42" customFormat="1" ht="12" customHeight="1" x14ac:dyDescent="0.2">
      <c r="A183" s="485"/>
      <c r="B183" s="52"/>
      <c r="C183" s="219"/>
      <c r="D183" s="217"/>
      <c r="E183" s="221"/>
      <c r="F183" s="217"/>
      <c r="G183" s="221"/>
      <c r="H183" s="54"/>
      <c r="I183" s="57"/>
      <c r="J183" s="485"/>
      <c r="K183" s="52"/>
      <c r="L183" s="53"/>
      <c r="M183" s="77"/>
      <c r="N183" s="54"/>
      <c r="O183" s="54"/>
      <c r="P183" s="54"/>
      <c r="Q183" s="77"/>
      <c r="R183" s="53"/>
      <c r="S183" s="57"/>
    </row>
    <row r="184" spans="1:20" s="14" customFormat="1" ht="12" customHeight="1" x14ac:dyDescent="0.2">
      <c r="A184" s="485" t="s">
        <v>196</v>
      </c>
      <c r="B184" s="52">
        <v>2011</v>
      </c>
      <c r="C184" s="58">
        <v>195000</v>
      </c>
      <c r="D184" s="54">
        <v>64000</v>
      </c>
      <c r="E184" s="57">
        <v>340</v>
      </c>
      <c r="F184" s="54">
        <v>131000</v>
      </c>
      <c r="G184" s="57">
        <v>298</v>
      </c>
      <c r="H184" s="53" t="s">
        <v>85</v>
      </c>
      <c r="I184" s="57" t="s">
        <v>85</v>
      </c>
      <c r="J184" s="485" t="s">
        <v>196</v>
      </c>
      <c r="K184" s="52">
        <v>2011</v>
      </c>
      <c r="L184" s="53" t="s">
        <v>77</v>
      </c>
      <c r="M184" s="77" t="s">
        <v>77</v>
      </c>
      <c r="N184" s="53" t="s">
        <v>77</v>
      </c>
      <c r="O184" s="53" t="s">
        <v>77</v>
      </c>
      <c r="P184" s="53" t="s">
        <v>77</v>
      </c>
      <c r="Q184" s="53" t="s">
        <v>77</v>
      </c>
      <c r="R184" s="53" t="s">
        <v>77</v>
      </c>
      <c r="S184" s="53" t="s">
        <v>77</v>
      </c>
    </row>
    <row r="185" spans="1:20" s="14" customFormat="1" ht="12" customHeight="1" x14ac:dyDescent="0.2">
      <c r="A185" s="485"/>
      <c r="B185" s="52">
        <v>2012</v>
      </c>
      <c r="C185" s="58">
        <v>163000</v>
      </c>
      <c r="D185" s="54">
        <v>53000</v>
      </c>
      <c r="E185" s="57">
        <v>470</v>
      </c>
      <c r="F185" s="54">
        <v>110000</v>
      </c>
      <c r="G185" s="57">
        <v>322</v>
      </c>
      <c r="H185" s="53" t="s">
        <v>85</v>
      </c>
      <c r="I185" s="57" t="s">
        <v>85</v>
      </c>
      <c r="J185" s="485"/>
      <c r="K185" s="52">
        <v>2012</v>
      </c>
      <c r="L185" s="53" t="s">
        <v>77</v>
      </c>
      <c r="M185" s="77" t="s">
        <v>77</v>
      </c>
      <c r="N185" s="53" t="s">
        <v>77</v>
      </c>
      <c r="O185" s="53" t="s">
        <v>77</v>
      </c>
      <c r="P185" s="53" t="s">
        <v>77</v>
      </c>
      <c r="Q185" s="53" t="s">
        <v>77</v>
      </c>
      <c r="R185" s="53" t="s">
        <v>77</v>
      </c>
      <c r="S185" s="53" t="s">
        <v>77</v>
      </c>
    </row>
    <row r="186" spans="1:20" s="14" customFormat="1" ht="12" customHeight="1" x14ac:dyDescent="0.2">
      <c r="A186" s="485"/>
      <c r="B186" s="52">
        <v>2013</v>
      </c>
      <c r="C186" s="58">
        <v>177000</v>
      </c>
      <c r="D186" s="54">
        <v>57000</v>
      </c>
      <c r="E186" s="57">
        <v>384</v>
      </c>
      <c r="F186" s="54">
        <v>120000</v>
      </c>
      <c r="G186" s="57">
        <v>330</v>
      </c>
      <c r="H186" s="53" t="s">
        <v>85</v>
      </c>
      <c r="I186" s="57" t="s">
        <v>85</v>
      </c>
      <c r="J186" s="485"/>
      <c r="K186" s="52">
        <v>2013</v>
      </c>
      <c r="L186" s="53" t="s">
        <v>77</v>
      </c>
      <c r="M186" s="77" t="s">
        <v>77</v>
      </c>
      <c r="N186" s="53" t="s">
        <v>77</v>
      </c>
      <c r="O186" s="53" t="s">
        <v>77</v>
      </c>
      <c r="P186" s="53" t="s">
        <v>77</v>
      </c>
      <c r="Q186" s="53" t="s">
        <v>77</v>
      </c>
      <c r="R186" s="53" t="s">
        <v>77</v>
      </c>
      <c r="S186" s="53" t="s">
        <v>77</v>
      </c>
    </row>
    <row r="187" spans="1:20" s="14" customFormat="1" ht="12" customHeight="1" x14ac:dyDescent="0.2">
      <c r="A187" s="485"/>
      <c r="B187" s="52">
        <v>2014</v>
      </c>
      <c r="C187" s="58">
        <v>154000</v>
      </c>
      <c r="D187" s="54">
        <v>48000</v>
      </c>
      <c r="E187" s="57">
        <v>478</v>
      </c>
      <c r="F187" s="54">
        <v>106000</v>
      </c>
      <c r="G187" s="57">
        <v>388</v>
      </c>
      <c r="H187" s="53" t="s">
        <v>85</v>
      </c>
      <c r="I187" s="57" t="s">
        <v>85</v>
      </c>
      <c r="J187" s="485"/>
      <c r="K187" s="52">
        <v>2014</v>
      </c>
      <c r="L187" s="53" t="s">
        <v>77</v>
      </c>
      <c r="M187" s="77" t="s">
        <v>77</v>
      </c>
      <c r="N187" s="53" t="s">
        <v>77</v>
      </c>
      <c r="O187" s="53" t="s">
        <v>77</v>
      </c>
      <c r="P187" s="53" t="s">
        <v>77</v>
      </c>
      <c r="Q187" s="53" t="s">
        <v>77</v>
      </c>
      <c r="R187" s="53" t="s">
        <v>77</v>
      </c>
      <c r="S187" s="53" t="s">
        <v>77</v>
      </c>
    </row>
    <row r="188" spans="1:20" s="14" customFormat="1" ht="12" customHeight="1" x14ac:dyDescent="0.2">
      <c r="A188" s="485"/>
      <c r="B188" s="92">
        <v>2015</v>
      </c>
      <c r="C188" s="219">
        <v>161000</v>
      </c>
      <c r="D188" s="217">
        <v>38000</v>
      </c>
      <c r="E188" s="221">
        <v>600</v>
      </c>
      <c r="F188" s="217">
        <v>123000</v>
      </c>
      <c r="G188" s="221">
        <v>461</v>
      </c>
      <c r="H188" s="212" t="s">
        <v>85</v>
      </c>
      <c r="I188" s="221" t="s">
        <v>85</v>
      </c>
      <c r="J188" s="485"/>
      <c r="K188" s="92">
        <v>2015</v>
      </c>
      <c r="L188" s="212" t="s">
        <v>77</v>
      </c>
      <c r="M188" s="222" t="s">
        <v>77</v>
      </c>
      <c r="N188" s="212" t="s">
        <v>77</v>
      </c>
      <c r="O188" s="212" t="s">
        <v>77</v>
      </c>
      <c r="P188" s="212" t="s">
        <v>77</v>
      </c>
      <c r="Q188" s="212" t="s">
        <v>77</v>
      </c>
      <c r="R188" s="212" t="s">
        <v>77</v>
      </c>
      <c r="S188" s="212" t="s">
        <v>77</v>
      </c>
    </row>
    <row r="189" spans="1:20" s="42" customFormat="1" ht="12" customHeight="1" x14ac:dyDescent="0.2">
      <c r="A189" s="485"/>
      <c r="B189" s="92">
        <v>2016</v>
      </c>
      <c r="C189" s="219">
        <v>141000</v>
      </c>
      <c r="D189" s="217">
        <v>36000</v>
      </c>
      <c r="E189" s="221">
        <v>550</v>
      </c>
      <c r="F189" s="217">
        <v>105000</v>
      </c>
      <c r="G189" s="221">
        <v>482</v>
      </c>
      <c r="H189" s="212" t="s">
        <v>85</v>
      </c>
      <c r="I189" s="221" t="s">
        <v>85</v>
      </c>
      <c r="J189" s="485"/>
      <c r="K189" s="92">
        <v>2016</v>
      </c>
      <c r="L189" s="212" t="s">
        <v>77</v>
      </c>
      <c r="M189" s="222" t="s">
        <v>77</v>
      </c>
      <c r="N189" s="212" t="s">
        <v>77</v>
      </c>
      <c r="O189" s="212" t="s">
        <v>77</v>
      </c>
      <c r="P189" s="212" t="s">
        <v>77</v>
      </c>
      <c r="Q189" s="212" t="s">
        <v>77</v>
      </c>
      <c r="R189" s="212" t="s">
        <v>77</v>
      </c>
      <c r="S189" s="212" t="s">
        <v>77</v>
      </c>
    </row>
    <row r="190" spans="1:20" s="42" customFormat="1" ht="12" customHeight="1" x14ac:dyDescent="0.2">
      <c r="A190" s="485"/>
      <c r="B190" s="92">
        <v>2017</v>
      </c>
      <c r="C190" s="219">
        <v>160000</v>
      </c>
      <c r="D190" s="217">
        <v>44000</v>
      </c>
      <c r="E190" s="221">
        <v>432</v>
      </c>
      <c r="F190" s="217">
        <v>116000</v>
      </c>
      <c r="G190" s="221">
        <v>416</v>
      </c>
      <c r="H190" s="212" t="s">
        <v>85</v>
      </c>
      <c r="I190" s="221" t="s">
        <v>85</v>
      </c>
      <c r="J190" s="487"/>
      <c r="K190" s="92">
        <v>2017</v>
      </c>
      <c r="L190" s="212" t="s">
        <v>77</v>
      </c>
      <c r="M190" s="222" t="s">
        <v>77</v>
      </c>
      <c r="N190" s="212" t="s">
        <v>77</v>
      </c>
      <c r="O190" s="212" t="s">
        <v>77</v>
      </c>
      <c r="P190" s="212" t="s">
        <v>77</v>
      </c>
      <c r="Q190" s="212" t="s">
        <v>77</v>
      </c>
      <c r="R190" s="212" t="s">
        <v>77</v>
      </c>
      <c r="S190" s="212" t="s">
        <v>77</v>
      </c>
    </row>
    <row r="191" spans="1:20" s="42" customFormat="1" ht="12" customHeight="1" x14ac:dyDescent="0.2">
      <c r="A191" s="485"/>
      <c r="B191" s="52">
        <v>2018</v>
      </c>
      <c r="C191" s="219" t="s">
        <v>77</v>
      </c>
      <c r="D191" s="212" t="s">
        <v>77</v>
      </c>
      <c r="E191" s="232" t="s">
        <v>77</v>
      </c>
      <c r="F191" s="212" t="s">
        <v>77</v>
      </c>
      <c r="G191" s="221" t="s">
        <v>77</v>
      </c>
      <c r="H191" s="212" t="s">
        <v>77</v>
      </c>
      <c r="I191" s="221" t="s">
        <v>77</v>
      </c>
      <c r="J191" s="487"/>
      <c r="K191" s="92">
        <v>2018</v>
      </c>
      <c r="L191" s="212" t="s">
        <v>77</v>
      </c>
      <c r="M191" s="222" t="s">
        <v>77</v>
      </c>
      <c r="N191" s="212" t="s">
        <v>77</v>
      </c>
      <c r="O191" s="212" t="s">
        <v>77</v>
      </c>
      <c r="P191" s="212" t="s">
        <v>77</v>
      </c>
      <c r="Q191" s="212" t="s">
        <v>77</v>
      </c>
      <c r="R191" s="212" t="s">
        <v>77</v>
      </c>
      <c r="S191" s="212" t="s">
        <v>77</v>
      </c>
    </row>
    <row r="192" spans="1:20" s="42" customFormat="1" ht="12" customHeight="1" x14ac:dyDescent="0.2">
      <c r="A192" s="485"/>
      <c r="B192" s="52">
        <v>2019</v>
      </c>
      <c r="C192" s="219" t="s">
        <v>77</v>
      </c>
      <c r="D192" s="212" t="s">
        <v>77</v>
      </c>
      <c r="E192" s="232" t="s">
        <v>77</v>
      </c>
      <c r="F192" s="212" t="s">
        <v>77</v>
      </c>
      <c r="G192" s="221" t="s">
        <v>77</v>
      </c>
      <c r="H192" s="212" t="s">
        <v>77</v>
      </c>
      <c r="I192" s="221" t="s">
        <v>77</v>
      </c>
      <c r="J192" s="487"/>
      <c r="K192" s="92">
        <v>2019</v>
      </c>
      <c r="L192" s="212" t="s">
        <v>77</v>
      </c>
      <c r="M192" s="222" t="s">
        <v>77</v>
      </c>
      <c r="N192" s="212" t="s">
        <v>77</v>
      </c>
      <c r="O192" s="212" t="s">
        <v>77</v>
      </c>
      <c r="P192" s="212" t="s">
        <v>77</v>
      </c>
      <c r="Q192" s="212" t="s">
        <v>77</v>
      </c>
      <c r="R192" s="212" t="s">
        <v>77</v>
      </c>
      <c r="S192" s="212" t="s">
        <v>77</v>
      </c>
    </row>
    <row r="193" spans="1:20" s="42" customFormat="1" ht="12" customHeight="1" x14ac:dyDescent="0.2">
      <c r="A193" s="485"/>
      <c r="B193" s="52">
        <v>2020</v>
      </c>
      <c r="C193" s="219" t="s">
        <v>77</v>
      </c>
      <c r="D193" s="212" t="s">
        <v>77</v>
      </c>
      <c r="E193" s="232" t="s">
        <v>77</v>
      </c>
      <c r="F193" s="212" t="s">
        <v>77</v>
      </c>
      <c r="G193" s="221" t="s">
        <v>77</v>
      </c>
      <c r="H193" s="212" t="s">
        <v>77</v>
      </c>
      <c r="I193" s="221" t="s">
        <v>77</v>
      </c>
      <c r="J193" s="487"/>
      <c r="K193" s="92">
        <v>2020</v>
      </c>
      <c r="L193" s="212" t="s">
        <v>77</v>
      </c>
      <c r="M193" s="222" t="s">
        <v>77</v>
      </c>
      <c r="N193" s="212" t="s">
        <v>77</v>
      </c>
      <c r="O193" s="212" t="s">
        <v>77</v>
      </c>
      <c r="P193" s="212" t="s">
        <v>77</v>
      </c>
      <c r="Q193" s="212" t="s">
        <v>77</v>
      </c>
      <c r="R193" s="212" t="s">
        <v>77</v>
      </c>
      <c r="S193" s="212" t="s">
        <v>77</v>
      </c>
      <c r="T193" s="472"/>
    </row>
    <row r="194" spans="1:20" s="42" customFormat="1" ht="12" customHeight="1" x14ac:dyDescent="0.2">
      <c r="A194" s="485"/>
      <c r="B194" s="52"/>
      <c r="C194" s="58"/>
      <c r="D194" s="53"/>
      <c r="E194" s="166"/>
      <c r="F194" s="53"/>
      <c r="G194" s="57"/>
      <c r="H194" s="212"/>
      <c r="I194" s="221"/>
      <c r="J194" s="487"/>
      <c r="K194" s="92"/>
      <c r="L194" s="212"/>
      <c r="M194" s="222"/>
      <c r="N194" s="212"/>
      <c r="O194" s="212"/>
      <c r="P194" s="212"/>
      <c r="Q194" s="212"/>
      <c r="R194" s="212"/>
      <c r="S194" s="212"/>
    </row>
    <row r="195" spans="1:20" s="42" customFormat="1" ht="12" customHeight="1" x14ac:dyDescent="0.2">
      <c r="A195" s="485" t="s">
        <v>197</v>
      </c>
      <c r="B195" s="52">
        <v>2011</v>
      </c>
      <c r="C195" s="58">
        <v>57000</v>
      </c>
      <c r="D195" s="53" t="s">
        <v>85</v>
      </c>
      <c r="E195" s="166" t="s">
        <v>85</v>
      </c>
      <c r="F195" s="53" t="s">
        <v>85</v>
      </c>
      <c r="G195" s="57" t="s">
        <v>85</v>
      </c>
      <c r="H195" s="53" t="s">
        <v>85</v>
      </c>
      <c r="I195" s="57" t="s">
        <v>85</v>
      </c>
      <c r="J195" s="485" t="s">
        <v>197</v>
      </c>
      <c r="K195" s="92">
        <v>2011</v>
      </c>
      <c r="L195" s="212" t="s">
        <v>77</v>
      </c>
      <c r="M195" s="222" t="s">
        <v>77</v>
      </c>
      <c r="N195" s="212" t="s">
        <v>77</v>
      </c>
      <c r="O195" s="212" t="s">
        <v>77</v>
      </c>
      <c r="P195" s="212" t="s">
        <v>77</v>
      </c>
      <c r="Q195" s="212" t="s">
        <v>77</v>
      </c>
      <c r="R195" s="212" t="s">
        <v>77</v>
      </c>
      <c r="S195" s="212" t="s">
        <v>77</v>
      </c>
    </row>
    <row r="196" spans="1:20" s="42" customFormat="1" ht="12" customHeight="1" x14ac:dyDescent="0.2">
      <c r="A196" s="485"/>
      <c r="B196" s="52">
        <v>2012</v>
      </c>
      <c r="C196" s="58">
        <v>45000</v>
      </c>
      <c r="D196" s="53" t="s">
        <v>85</v>
      </c>
      <c r="E196" s="166" t="s">
        <v>85</v>
      </c>
      <c r="F196" s="53" t="s">
        <v>85</v>
      </c>
      <c r="G196" s="57" t="s">
        <v>85</v>
      </c>
      <c r="H196" s="53" t="s">
        <v>85</v>
      </c>
      <c r="I196" s="57" t="s">
        <v>85</v>
      </c>
      <c r="J196" s="485"/>
      <c r="K196" s="92">
        <v>2012</v>
      </c>
      <c r="L196" s="212" t="s">
        <v>77</v>
      </c>
      <c r="M196" s="222" t="s">
        <v>77</v>
      </c>
      <c r="N196" s="212" t="s">
        <v>77</v>
      </c>
      <c r="O196" s="212" t="s">
        <v>77</v>
      </c>
      <c r="P196" s="212" t="s">
        <v>77</v>
      </c>
      <c r="Q196" s="212" t="s">
        <v>77</v>
      </c>
      <c r="R196" s="212" t="s">
        <v>77</v>
      </c>
      <c r="S196" s="212" t="s">
        <v>77</v>
      </c>
    </row>
    <row r="197" spans="1:20" s="42" customFormat="1" ht="12" customHeight="1" x14ac:dyDescent="0.2">
      <c r="A197" s="485"/>
      <c r="B197" s="52">
        <v>2013</v>
      </c>
      <c r="C197" s="58">
        <v>43000</v>
      </c>
      <c r="D197" s="53" t="s">
        <v>85</v>
      </c>
      <c r="E197" s="166" t="s">
        <v>85</v>
      </c>
      <c r="F197" s="53" t="s">
        <v>85</v>
      </c>
      <c r="G197" s="57" t="s">
        <v>85</v>
      </c>
      <c r="H197" s="53" t="s">
        <v>85</v>
      </c>
      <c r="I197" s="57" t="s">
        <v>85</v>
      </c>
      <c r="J197" s="485"/>
      <c r="K197" s="92">
        <v>2013</v>
      </c>
      <c r="L197" s="212" t="s">
        <v>77</v>
      </c>
      <c r="M197" s="222" t="s">
        <v>77</v>
      </c>
      <c r="N197" s="212" t="s">
        <v>77</v>
      </c>
      <c r="O197" s="212" t="s">
        <v>77</v>
      </c>
      <c r="P197" s="212" t="s">
        <v>77</v>
      </c>
      <c r="Q197" s="212" t="s">
        <v>77</v>
      </c>
      <c r="R197" s="212" t="s">
        <v>77</v>
      </c>
      <c r="S197" s="212" t="s">
        <v>77</v>
      </c>
    </row>
    <row r="198" spans="1:20" s="42" customFormat="1" ht="12" customHeight="1" x14ac:dyDescent="0.2">
      <c r="A198" s="485"/>
      <c r="B198" s="52">
        <v>2014</v>
      </c>
      <c r="C198" s="58">
        <v>35000</v>
      </c>
      <c r="D198" s="53" t="s">
        <v>85</v>
      </c>
      <c r="E198" s="166" t="s">
        <v>85</v>
      </c>
      <c r="F198" s="53" t="s">
        <v>85</v>
      </c>
      <c r="G198" s="57" t="s">
        <v>85</v>
      </c>
      <c r="H198" s="53" t="s">
        <v>85</v>
      </c>
      <c r="I198" s="57" t="s">
        <v>85</v>
      </c>
      <c r="J198" s="485"/>
      <c r="K198" s="92">
        <v>2014</v>
      </c>
      <c r="L198" s="212" t="s">
        <v>77</v>
      </c>
      <c r="M198" s="222" t="s">
        <v>77</v>
      </c>
      <c r="N198" s="212" t="s">
        <v>77</v>
      </c>
      <c r="O198" s="212" t="s">
        <v>77</v>
      </c>
      <c r="P198" s="212" t="s">
        <v>77</v>
      </c>
      <c r="Q198" s="212" t="s">
        <v>77</v>
      </c>
      <c r="R198" s="212" t="s">
        <v>77</v>
      </c>
      <c r="S198" s="212" t="s">
        <v>77</v>
      </c>
    </row>
    <row r="199" spans="1:20" s="42" customFormat="1" ht="12" customHeight="1" x14ac:dyDescent="0.2">
      <c r="A199" s="485"/>
      <c r="B199" s="92">
        <v>2015</v>
      </c>
      <c r="C199" s="219">
        <v>30000</v>
      </c>
      <c r="D199" s="217">
        <v>22000</v>
      </c>
      <c r="E199" s="221">
        <v>620</v>
      </c>
      <c r="F199" s="217">
        <v>8000</v>
      </c>
      <c r="G199" s="221">
        <v>90</v>
      </c>
      <c r="H199" s="212" t="s">
        <v>85</v>
      </c>
      <c r="I199" s="221" t="s">
        <v>85</v>
      </c>
      <c r="J199" s="485"/>
      <c r="K199" s="92">
        <v>2015</v>
      </c>
      <c r="L199" s="212" t="s">
        <v>77</v>
      </c>
      <c r="M199" s="222" t="s">
        <v>77</v>
      </c>
      <c r="N199" s="212" t="s">
        <v>77</v>
      </c>
      <c r="O199" s="212" t="s">
        <v>77</v>
      </c>
      <c r="P199" s="212" t="s">
        <v>77</v>
      </c>
      <c r="Q199" s="212" t="s">
        <v>77</v>
      </c>
      <c r="R199" s="212" t="s">
        <v>77</v>
      </c>
      <c r="S199" s="212" t="s">
        <v>77</v>
      </c>
    </row>
    <row r="200" spans="1:20" s="42" customFormat="1" ht="12" customHeight="1" x14ac:dyDescent="0.2">
      <c r="A200" s="485"/>
      <c r="B200" s="92">
        <v>2016</v>
      </c>
      <c r="C200" s="219">
        <v>34000</v>
      </c>
      <c r="D200" s="217">
        <v>27000</v>
      </c>
      <c r="E200" s="221">
        <v>842</v>
      </c>
      <c r="F200" s="217">
        <v>7000</v>
      </c>
      <c r="G200" s="221">
        <v>384</v>
      </c>
      <c r="H200" s="212" t="s">
        <v>85</v>
      </c>
      <c r="I200" s="221" t="s">
        <v>85</v>
      </c>
      <c r="J200" s="487"/>
      <c r="K200" s="92">
        <v>2016</v>
      </c>
      <c r="L200" s="212" t="s">
        <v>77</v>
      </c>
      <c r="M200" s="222" t="s">
        <v>77</v>
      </c>
      <c r="N200" s="212" t="s">
        <v>77</v>
      </c>
      <c r="O200" s="212" t="s">
        <v>77</v>
      </c>
      <c r="P200" s="212" t="s">
        <v>77</v>
      </c>
      <c r="Q200" s="212" t="s">
        <v>77</v>
      </c>
      <c r="R200" s="212" t="s">
        <v>77</v>
      </c>
      <c r="S200" s="212" t="s">
        <v>77</v>
      </c>
      <c r="T200" s="41"/>
    </row>
    <row r="201" spans="1:20" s="42" customFormat="1" ht="12" customHeight="1" x14ac:dyDescent="0.2">
      <c r="A201" s="485"/>
      <c r="B201" s="92">
        <v>2017</v>
      </c>
      <c r="C201" s="219">
        <v>32000</v>
      </c>
      <c r="D201" s="217">
        <v>21000</v>
      </c>
      <c r="E201" s="221">
        <v>1190</v>
      </c>
      <c r="F201" s="217">
        <v>11000</v>
      </c>
      <c r="G201" s="221">
        <v>360</v>
      </c>
      <c r="H201" s="212" t="s">
        <v>85</v>
      </c>
      <c r="I201" s="221" t="s">
        <v>85</v>
      </c>
      <c r="J201" s="487"/>
      <c r="K201" s="92">
        <v>2017</v>
      </c>
      <c r="L201" s="212" t="s">
        <v>77</v>
      </c>
      <c r="M201" s="222" t="s">
        <v>77</v>
      </c>
      <c r="N201" s="212" t="s">
        <v>77</v>
      </c>
      <c r="O201" s="212" t="s">
        <v>77</v>
      </c>
      <c r="P201" s="212" t="s">
        <v>77</v>
      </c>
      <c r="Q201" s="212" t="s">
        <v>77</v>
      </c>
      <c r="R201" s="212" t="s">
        <v>77</v>
      </c>
      <c r="S201" s="212" t="s">
        <v>77</v>
      </c>
      <c r="T201" s="41"/>
    </row>
    <row r="202" spans="1:20" s="42" customFormat="1" ht="12" customHeight="1" x14ac:dyDescent="0.2">
      <c r="A202" s="485"/>
      <c r="B202" s="52">
        <v>2018</v>
      </c>
      <c r="C202" s="219" t="s">
        <v>77</v>
      </c>
      <c r="D202" s="212" t="s">
        <v>77</v>
      </c>
      <c r="E202" s="232" t="s">
        <v>77</v>
      </c>
      <c r="F202" s="212" t="s">
        <v>77</v>
      </c>
      <c r="G202" s="221" t="s">
        <v>77</v>
      </c>
      <c r="H202" s="53" t="s">
        <v>77</v>
      </c>
      <c r="I202" s="57" t="s">
        <v>77</v>
      </c>
      <c r="J202" s="487"/>
      <c r="K202" s="92">
        <v>2018</v>
      </c>
      <c r="L202" s="212" t="s">
        <v>77</v>
      </c>
      <c r="M202" s="222" t="s">
        <v>77</v>
      </c>
      <c r="N202" s="212" t="s">
        <v>77</v>
      </c>
      <c r="O202" s="212" t="s">
        <v>77</v>
      </c>
      <c r="P202" s="212" t="s">
        <v>77</v>
      </c>
      <c r="Q202" s="212" t="s">
        <v>77</v>
      </c>
      <c r="R202" s="212" t="s">
        <v>77</v>
      </c>
      <c r="S202" s="212" t="s">
        <v>77</v>
      </c>
      <c r="T202" s="41"/>
    </row>
    <row r="203" spans="1:20" s="42" customFormat="1" ht="12" customHeight="1" x14ac:dyDescent="0.2">
      <c r="A203" s="485"/>
      <c r="B203" s="52">
        <v>2019</v>
      </c>
      <c r="C203" s="219" t="s">
        <v>77</v>
      </c>
      <c r="D203" s="212" t="s">
        <v>77</v>
      </c>
      <c r="E203" s="232" t="s">
        <v>77</v>
      </c>
      <c r="F203" s="212" t="s">
        <v>77</v>
      </c>
      <c r="G203" s="221" t="s">
        <v>77</v>
      </c>
      <c r="H203" s="53" t="s">
        <v>77</v>
      </c>
      <c r="I203" s="57" t="s">
        <v>77</v>
      </c>
      <c r="J203" s="485"/>
      <c r="K203" s="92">
        <v>2019</v>
      </c>
      <c r="L203" s="212" t="s">
        <v>77</v>
      </c>
      <c r="M203" s="222" t="s">
        <v>77</v>
      </c>
      <c r="N203" s="212" t="s">
        <v>77</v>
      </c>
      <c r="O203" s="212" t="s">
        <v>77</v>
      </c>
      <c r="P203" s="212" t="s">
        <v>77</v>
      </c>
      <c r="Q203" s="212" t="s">
        <v>77</v>
      </c>
      <c r="R203" s="212" t="s">
        <v>77</v>
      </c>
      <c r="S203" s="212" t="s">
        <v>77</v>
      </c>
    </row>
    <row r="204" spans="1:20" s="42" customFormat="1" ht="12" customHeight="1" x14ac:dyDescent="0.2">
      <c r="A204" s="485"/>
      <c r="B204" s="52">
        <v>2020</v>
      </c>
      <c r="C204" s="219" t="s">
        <v>77</v>
      </c>
      <c r="D204" s="212" t="s">
        <v>77</v>
      </c>
      <c r="E204" s="232" t="s">
        <v>77</v>
      </c>
      <c r="F204" s="212" t="s">
        <v>77</v>
      </c>
      <c r="G204" s="221" t="s">
        <v>77</v>
      </c>
      <c r="H204" s="53" t="s">
        <v>77</v>
      </c>
      <c r="I204" s="57" t="s">
        <v>77</v>
      </c>
      <c r="J204" s="485"/>
      <c r="K204" s="92">
        <v>2020</v>
      </c>
      <c r="L204" s="212" t="s">
        <v>77</v>
      </c>
      <c r="M204" s="222" t="s">
        <v>77</v>
      </c>
      <c r="N204" s="212" t="s">
        <v>77</v>
      </c>
      <c r="O204" s="212" t="s">
        <v>77</v>
      </c>
      <c r="P204" s="212" t="s">
        <v>77</v>
      </c>
      <c r="Q204" s="212" t="s">
        <v>77</v>
      </c>
      <c r="R204" s="212" t="s">
        <v>77</v>
      </c>
      <c r="S204" s="212" t="s">
        <v>77</v>
      </c>
      <c r="T204" s="472"/>
    </row>
    <row r="205" spans="1:20" s="42" customFormat="1" ht="12" customHeight="1" x14ac:dyDescent="0.2">
      <c r="A205" s="485"/>
      <c r="B205" s="52"/>
      <c r="C205" s="58"/>
      <c r="D205" s="53"/>
      <c r="E205" s="166"/>
      <c r="F205" s="53"/>
      <c r="G205" s="57"/>
      <c r="H205" s="53"/>
      <c r="I205" s="57"/>
      <c r="J205" s="485"/>
      <c r="K205" s="92"/>
      <c r="L205" s="212"/>
      <c r="M205" s="222"/>
      <c r="N205" s="212"/>
      <c r="O205" s="212"/>
      <c r="P205" s="212"/>
      <c r="Q205" s="212"/>
      <c r="R205" s="212"/>
      <c r="S205" s="212"/>
    </row>
    <row r="206" spans="1:20" s="42" customFormat="1" ht="12" customHeight="1" x14ac:dyDescent="0.2">
      <c r="A206" s="485" t="s">
        <v>198</v>
      </c>
      <c r="B206" s="52">
        <v>2011</v>
      </c>
      <c r="C206" s="58">
        <v>252000</v>
      </c>
      <c r="D206" s="53" t="s">
        <v>85</v>
      </c>
      <c r="E206" s="166" t="s">
        <v>85</v>
      </c>
      <c r="F206" s="53" t="s">
        <v>85</v>
      </c>
      <c r="G206" s="57" t="s">
        <v>85</v>
      </c>
      <c r="H206" s="53" t="s">
        <v>85</v>
      </c>
      <c r="I206" s="57" t="s">
        <v>85</v>
      </c>
      <c r="J206" s="485" t="s">
        <v>198</v>
      </c>
      <c r="K206" s="92">
        <v>2011</v>
      </c>
      <c r="L206" s="212" t="s">
        <v>77</v>
      </c>
      <c r="M206" s="222" t="s">
        <v>77</v>
      </c>
      <c r="N206" s="212" t="s">
        <v>77</v>
      </c>
      <c r="O206" s="212" t="s">
        <v>77</v>
      </c>
      <c r="P206" s="212" t="s">
        <v>77</v>
      </c>
      <c r="Q206" s="212" t="s">
        <v>77</v>
      </c>
      <c r="R206" s="212" t="s">
        <v>77</v>
      </c>
      <c r="S206" s="212" t="s">
        <v>77</v>
      </c>
    </row>
    <row r="207" spans="1:20" s="42" customFormat="1" ht="12" customHeight="1" x14ac:dyDescent="0.2">
      <c r="A207" s="485"/>
      <c r="B207" s="52">
        <v>2012</v>
      </c>
      <c r="C207" s="58">
        <v>208000</v>
      </c>
      <c r="D207" s="53" t="s">
        <v>85</v>
      </c>
      <c r="E207" s="166" t="s">
        <v>85</v>
      </c>
      <c r="F207" s="53" t="s">
        <v>85</v>
      </c>
      <c r="G207" s="57" t="s">
        <v>85</v>
      </c>
      <c r="H207" s="53" t="s">
        <v>85</v>
      </c>
      <c r="I207" s="57" t="s">
        <v>85</v>
      </c>
      <c r="J207" s="485"/>
      <c r="K207" s="92">
        <v>2012</v>
      </c>
      <c r="L207" s="212" t="s">
        <v>77</v>
      </c>
      <c r="M207" s="222" t="s">
        <v>77</v>
      </c>
      <c r="N207" s="212" t="s">
        <v>77</v>
      </c>
      <c r="O207" s="212" t="s">
        <v>77</v>
      </c>
      <c r="P207" s="212" t="s">
        <v>77</v>
      </c>
      <c r="Q207" s="212" t="s">
        <v>77</v>
      </c>
      <c r="R207" s="212" t="s">
        <v>77</v>
      </c>
      <c r="S207" s="212" t="s">
        <v>77</v>
      </c>
    </row>
    <row r="208" spans="1:20" s="42" customFormat="1" ht="12" customHeight="1" x14ac:dyDescent="0.2">
      <c r="A208" s="485"/>
      <c r="B208" s="52">
        <v>2013</v>
      </c>
      <c r="C208" s="58">
        <v>220000</v>
      </c>
      <c r="D208" s="53" t="s">
        <v>85</v>
      </c>
      <c r="E208" s="166" t="s">
        <v>85</v>
      </c>
      <c r="F208" s="53" t="s">
        <v>85</v>
      </c>
      <c r="G208" s="57" t="s">
        <v>85</v>
      </c>
      <c r="H208" s="53" t="s">
        <v>85</v>
      </c>
      <c r="I208" s="57" t="s">
        <v>85</v>
      </c>
      <c r="J208" s="485"/>
      <c r="K208" s="92">
        <v>2013</v>
      </c>
      <c r="L208" s="212" t="s">
        <v>77</v>
      </c>
      <c r="M208" s="222" t="s">
        <v>77</v>
      </c>
      <c r="N208" s="212" t="s">
        <v>77</v>
      </c>
      <c r="O208" s="212" t="s">
        <v>77</v>
      </c>
      <c r="P208" s="212" t="s">
        <v>77</v>
      </c>
      <c r="Q208" s="212" t="s">
        <v>77</v>
      </c>
      <c r="R208" s="212" t="s">
        <v>77</v>
      </c>
      <c r="S208" s="212" t="s">
        <v>77</v>
      </c>
    </row>
    <row r="209" spans="1:20" s="42" customFormat="1" ht="12" customHeight="1" x14ac:dyDescent="0.2">
      <c r="A209" s="485"/>
      <c r="B209" s="52">
        <v>2014</v>
      </c>
      <c r="C209" s="58">
        <v>189000</v>
      </c>
      <c r="D209" s="53" t="s">
        <v>85</v>
      </c>
      <c r="E209" s="166" t="s">
        <v>85</v>
      </c>
      <c r="F209" s="53" t="s">
        <v>85</v>
      </c>
      <c r="G209" s="57" t="s">
        <v>85</v>
      </c>
      <c r="H209" s="53" t="s">
        <v>85</v>
      </c>
      <c r="I209" s="57" t="s">
        <v>85</v>
      </c>
      <c r="J209" s="485"/>
      <c r="K209" s="92">
        <v>2014</v>
      </c>
      <c r="L209" s="212" t="s">
        <v>77</v>
      </c>
      <c r="M209" s="222" t="s">
        <v>77</v>
      </c>
      <c r="N209" s="212" t="s">
        <v>77</v>
      </c>
      <c r="O209" s="212" t="s">
        <v>77</v>
      </c>
      <c r="P209" s="212" t="s">
        <v>77</v>
      </c>
      <c r="Q209" s="212" t="s">
        <v>77</v>
      </c>
      <c r="R209" s="212" t="s">
        <v>77</v>
      </c>
      <c r="S209" s="212" t="s">
        <v>77</v>
      </c>
    </row>
    <row r="210" spans="1:20" s="42" customFormat="1" ht="12" customHeight="1" x14ac:dyDescent="0.2">
      <c r="A210" s="485"/>
      <c r="B210" s="92">
        <v>2015</v>
      </c>
      <c r="C210" s="219">
        <v>191000</v>
      </c>
      <c r="D210" s="217">
        <v>60000</v>
      </c>
      <c r="E210" s="221">
        <v>607</v>
      </c>
      <c r="F210" s="217">
        <v>131000</v>
      </c>
      <c r="G210" s="221">
        <v>438</v>
      </c>
      <c r="H210" s="212" t="s">
        <v>85</v>
      </c>
      <c r="I210" s="221" t="s">
        <v>85</v>
      </c>
      <c r="J210" s="485"/>
      <c r="K210" s="92">
        <v>2015</v>
      </c>
      <c r="L210" s="212" t="s">
        <v>77</v>
      </c>
      <c r="M210" s="222" t="s">
        <v>77</v>
      </c>
      <c r="N210" s="212" t="s">
        <v>77</v>
      </c>
      <c r="O210" s="212" t="s">
        <v>77</v>
      </c>
      <c r="P210" s="212" t="s">
        <v>77</v>
      </c>
      <c r="Q210" s="212" t="s">
        <v>77</v>
      </c>
      <c r="R210" s="212" t="s">
        <v>77</v>
      </c>
      <c r="S210" s="212" t="s">
        <v>77</v>
      </c>
    </row>
    <row r="211" spans="1:20" s="42" customFormat="1" ht="12" customHeight="1" x14ac:dyDescent="0.2">
      <c r="A211" s="485"/>
      <c r="B211" s="92">
        <v>2016</v>
      </c>
      <c r="C211" s="219">
        <v>175000</v>
      </c>
      <c r="D211" s="217">
        <v>63000</v>
      </c>
      <c r="E211" s="221">
        <v>675</v>
      </c>
      <c r="F211" s="217">
        <v>112000</v>
      </c>
      <c r="G211" s="221">
        <v>476</v>
      </c>
      <c r="H211" s="212" t="s">
        <v>85</v>
      </c>
      <c r="I211" s="221" t="s">
        <v>85</v>
      </c>
      <c r="J211" s="485"/>
      <c r="K211" s="92">
        <v>2016</v>
      </c>
      <c r="L211" s="212" t="s">
        <v>77</v>
      </c>
      <c r="M211" s="222" t="s">
        <v>77</v>
      </c>
      <c r="N211" s="212" t="s">
        <v>77</v>
      </c>
      <c r="O211" s="212" t="s">
        <v>77</v>
      </c>
      <c r="P211" s="212" t="s">
        <v>77</v>
      </c>
      <c r="Q211" s="212" t="s">
        <v>77</v>
      </c>
      <c r="R211" s="212" t="s">
        <v>77</v>
      </c>
      <c r="S211" s="212" t="s">
        <v>77</v>
      </c>
    </row>
    <row r="212" spans="1:20" s="42" customFormat="1" ht="12" customHeight="1" x14ac:dyDescent="0.2">
      <c r="A212" s="485"/>
      <c r="B212" s="92">
        <v>2017</v>
      </c>
      <c r="C212" s="219">
        <v>192000</v>
      </c>
      <c r="D212" s="217">
        <v>65000</v>
      </c>
      <c r="E212" s="221">
        <v>677</v>
      </c>
      <c r="F212" s="217">
        <v>127000</v>
      </c>
      <c r="G212" s="221">
        <v>411</v>
      </c>
      <c r="H212" s="212" t="s">
        <v>85</v>
      </c>
      <c r="I212" s="222" t="s">
        <v>85</v>
      </c>
      <c r="J212" s="485"/>
      <c r="K212" s="92">
        <v>2017</v>
      </c>
      <c r="L212" s="212" t="s">
        <v>77</v>
      </c>
      <c r="M212" s="222" t="s">
        <v>77</v>
      </c>
      <c r="N212" s="212" t="s">
        <v>77</v>
      </c>
      <c r="O212" s="212" t="s">
        <v>77</v>
      </c>
      <c r="P212" s="212" t="s">
        <v>77</v>
      </c>
      <c r="Q212" s="212" t="s">
        <v>77</v>
      </c>
      <c r="R212" s="212" t="s">
        <v>77</v>
      </c>
      <c r="S212" s="212" t="s">
        <v>77</v>
      </c>
    </row>
    <row r="213" spans="1:20" s="42" customFormat="1" ht="12" customHeight="1" x14ac:dyDescent="0.2">
      <c r="A213" s="485"/>
      <c r="B213" s="52">
        <v>2018</v>
      </c>
      <c r="C213" s="219">
        <v>161000</v>
      </c>
      <c r="D213" s="217">
        <v>54100</v>
      </c>
      <c r="E213" s="232">
        <v>661</v>
      </c>
      <c r="F213" s="217">
        <v>106900</v>
      </c>
      <c r="G213" s="221">
        <v>389</v>
      </c>
      <c r="H213" s="212" t="s">
        <v>77</v>
      </c>
      <c r="I213" s="222" t="s">
        <v>77</v>
      </c>
      <c r="J213" s="485"/>
      <c r="K213" s="92">
        <v>2018</v>
      </c>
      <c r="L213" s="212" t="s">
        <v>77</v>
      </c>
      <c r="M213" s="222" t="s">
        <v>77</v>
      </c>
      <c r="N213" s="212" t="s">
        <v>77</v>
      </c>
      <c r="O213" s="212" t="s">
        <v>77</v>
      </c>
      <c r="P213" s="212" t="s">
        <v>77</v>
      </c>
      <c r="Q213" s="212" t="s">
        <v>77</v>
      </c>
      <c r="R213" s="212" t="s">
        <v>77</v>
      </c>
      <c r="S213" s="212" t="s">
        <v>77</v>
      </c>
    </row>
    <row r="214" spans="1:20" s="7" customFormat="1" ht="12" customHeight="1" x14ac:dyDescent="0.2">
      <c r="A214" s="485"/>
      <c r="B214" s="52">
        <v>2019</v>
      </c>
      <c r="C214" s="219">
        <f>69440+91930</f>
        <v>161370</v>
      </c>
      <c r="D214" s="217">
        <v>69440</v>
      </c>
      <c r="E214" s="232">
        <v>372</v>
      </c>
      <c r="F214" s="217">
        <v>91930</v>
      </c>
      <c r="G214" s="221">
        <v>386</v>
      </c>
      <c r="H214" s="212" t="s">
        <v>77</v>
      </c>
      <c r="I214" s="222" t="s">
        <v>77</v>
      </c>
      <c r="J214" s="485"/>
      <c r="K214" s="92">
        <v>2019</v>
      </c>
      <c r="L214" s="212" t="s">
        <v>77</v>
      </c>
      <c r="M214" s="222" t="s">
        <v>77</v>
      </c>
      <c r="N214" s="212" t="s">
        <v>77</v>
      </c>
      <c r="O214" s="212" t="s">
        <v>77</v>
      </c>
      <c r="P214" s="212" t="s">
        <v>77</v>
      </c>
      <c r="Q214" s="212" t="s">
        <v>77</v>
      </c>
      <c r="R214" s="212" t="s">
        <v>77</v>
      </c>
      <c r="S214" s="212" t="s">
        <v>77</v>
      </c>
    </row>
    <row r="215" spans="1:20" s="73" customFormat="1" ht="12" customHeight="1" x14ac:dyDescent="0.2">
      <c r="A215" s="485"/>
      <c r="B215" s="52">
        <v>2020</v>
      </c>
      <c r="C215" s="219">
        <f>60840+53250</f>
        <v>114090</v>
      </c>
      <c r="D215" s="217">
        <v>60840</v>
      </c>
      <c r="E215" s="232">
        <v>746</v>
      </c>
      <c r="F215" s="217">
        <v>53250</v>
      </c>
      <c r="G215" s="221">
        <v>424</v>
      </c>
      <c r="H215" s="212" t="s">
        <v>77</v>
      </c>
      <c r="I215" s="222" t="s">
        <v>77</v>
      </c>
      <c r="J215" s="485"/>
      <c r="K215" s="92">
        <v>2020</v>
      </c>
      <c r="L215" s="212" t="s">
        <v>77</v>
      </c>
      <c r="M215" s="222" t="s">
        <v>77</v>
      </c>
      <c r="N215" s="212" t="s">
        <v>77</v>
      </c>
      <c r="O215" s="212" t="s">
        <v>77</v>
      </c>
      <c r="P215" s="212" t="s">
        <v>77</v>
      </c>
      <c r="Q215" s="212" t="s">
        <v>77</v>
      </c>
      <c r="R215" s="212" t="s">
        <v>77</v>
      </c>
      <c r="S215" s="212" t="s">
        <v>77</v>
      </c>
      <c r="T215" s="476"/>
    </row>
    <row r="216" spans="1:20" s="73" customFormat="1" ht="12" customHeight="1" x14ac:dyDescent="0.2">
      <c r="A216" s="485"/>
      <c r="B216" s="52"/>
      <c r="C216" s="219"/>
      <c r="D216" s="217"/>
      <c r="E216" s="232"/>
      <c r="F216" s="217"/>
      <c r="G216" s="221"/>
      <c r="H216" s="212"/>
      <c r="I216" s="222"/>
      <c r="J216" s="485"/>
      <c r="K216" s="92"/>
      <c r="L216" s="212"/>
      <c r="M216" s="222"/>
      <c r="N216" s="212"/>
      <c r="O216" s="212"/>
      <c r="P216" s="212"/>
      <c r="Q216" s="212"/>
      <c r="R216" s="212"/>
      <c r="S216" s="212"/>
    </row>
    <row r="217" spans="1:20" s="14" customFormat="1" ht="12" customHeight="1" x14ac:dyDescent="0.2">
      <c r="A217" s="485" t="s">
        <v>43</v>
      </c>
      <c r="B217" s="52">
        <v>2011</v>
      </c>
      <c r="C217" s="58">
        <v>160000</v>
      </c>
      <c r="D217" s="53" t="s">
        <v>85</v>
      </c>
      <c r="E217" s="166" t="s">
        <v>85</v>
      </c>
      <c r="F217" s="53" t="s">
        <v>85</v>
      </c>
      <c r="G217" s="57" t="s">
        <v>85</v>
      </c>
      <c r="H217" s="53" t="s">
        <v>85</v>
      </c>
      <c r="I217" s="57" t="s">
        <v>85</v>
      </c>
      <c r="J217" s="485" t="s">
        <v>43</v>
      </c>
      <c r="K217" s="52">
        <v>2011</v>
      </c>
      <c r="L217" s="53" t="s">
        <v>77</v>
      </c>
      <c r="M217" s="77" t="s">
        <v>77</v>
      </c>
      <c r="N217" s="53" t="s">
        <v>77</v>
      </c>
      <c r="O217" s="53" t="s">
        <v>77</v>
      </c>
      <c r="P217" s="53" t="s">
        <v>77</v>
      </c>
      <c r="Q217" s="53" t="s">
        <v>77</v>
      </c>
      <c r="R217" s="53" t="s">
        <v>77</v>
      </c>
      <c r="S217" s="53" t="s">
        <v>77</v>
      </c>
    </row>
    <row r="218" spans="1:20" s="14" customFormat="1" ht="12" customHeight="1" x14ac:dyDescent="0.2">
      <c r="A218" s="485"/>
      <c r="B218" s="52">
        <v>2012</v>
      </c>
      <c r="C218" s="58">
        <v>115000</v>
      </c>
      <c r="D218" s="53" t="s">
        <v>85</v>
      </c>
      <c r="E218" s="166" t="s">
        <v>85</v>
      </c>
      <c r="F218" s="53" t="s">
        <v>85</v>
      </c>
      <c r="G218" s="57" t="s">
        <v>85</v>
      </c>
      <c r="H218" s="53" t="s">
        <v>85</v>
      </c>
      <c r="I218" s="57" t="s">
        <v>85</v>
      </c>
      <c r="J218" s="485"/>
      <c r="K218" s="52">
        <v>2012</v>
      </c>
      <c r="L218" s="53" t="s">
        <v>77</v>
      </c>
      <c r="M218" s="77" t="s">
        <v>77</v>
      </c>
      <c r="N218" s="53" t="s">
        <v>77</v>
      </c>
      <c r="O218" s="53" t="s">
        <v>77</v>
      </c>
      <c r="P218" s="53" t="s">
        <v>77</v>
      </c>
      <c r="Q218" s="53" t="s">
        <v>77</v>
      </c>
      <c r="R218" s="53" t="s">
        <v>77</v>
      </c>
      <c r="S218" s="53" t="s">
        <v>77</v>
      </c>
    </row>
    <row r="219" spans="1:20" s="14" customFormat="1" ht="12" customHeight="1" x14ac:dyDescent="0.2">
      <c r="A219" s="485"/>
      <c r="B219" s="484">
        <v>2013</v>
      </c>
      <c r="C219" s="58">
        <v>98600</v>
      </c>
      <c r="D219" s="53" t="s">
        <v>85</v>
      </c>
      <c r="E219" s="166" t="s">
        <v>85</v>
      </c>
      <c r="F219" s="53" t="s">
        <v>85</v>
      </c>
      <c r="G219" s="57" t="s">
        <v>85</v>
      </c>
      <c r="H219" s="53" t="s">
        <v>85</v>
      </c>
      <c r="I219" s="57" t="s">
        <v>85</v>
      </c>
      <c r="J219" s="485"/>
      <c r="K219" s="52">
        <v>2013</v>
      </c>
      <c r="L219" s="53" t="s">
        <v>77</v>
      </c>
      <c r="M219" s="77" t="s">
        <v>77</v>
      </c>
      <c r="N219" s="53" t="s">
        <v>77</v>
      </c>
      <c r="O219" s="53" t="s">
        <v>77</v>
      </c>
      <c r="P219" s="53" t="s">
        <v>77</v>
      </c>
      <c r="Q219" s="53" t="s">
        <v>77</v>
      </c>
      <c r="R219" s="53" t="s">
        <v>77</v>
      </c>
      <c r="S219" s="53" t="s">
        <v>77</v>
      </c>
    </row>
    <row r="220" spans="1:20" s="14" customFormat="1" ht="12" customHeight="1" x14ac:dyDescent="0.2">
      <c r="A220" s="485"/>
      <c r="B220" s="484">
        <v>2014</v>
      </c>
      <c r="C220" s="58">
        <v>104000</v>
      </c>
      <c r="D220" s="212" t="s">
        <v>85</v>
      </c>
      <c r="E220" s="232" t="s">
        <v>85</v>
      </c>
      <c r="F220" s="212" t="s">
        <v>85</v>
      </c>
      <c r="G220" s="221" t="s">
        <v>85</v>
      </c>
      <c r="H220" s="212" t="s">
        <v>85</v>
      </c>
      <c r="I220" s="221" t="s">
        <v>85</v>
      </c>
      <c r="J220" s="485"/>
      <c r="K220" s="92">
        <v>2014</v>
      </c>
      <c r="L220" s="212" t="s">
        <v>77</v>
      </c>
      <c r="M220" s="222" t="s">
        <v>77</v>
      </c>
      <c r="N220" s="212" t="s">
        <v>77</v>
      </c>
      <c r="O220" s="212" t="s">
        <v>77</v>
      </c>
      <c r="P220" s="212" t="s">
        <v>77</v>
      </c>
      <c r="Q220" s="212" t="s">
        <v>77</v>
      </c>
      <c r="R220" s="212" t="s">
        <v>77</v>
      </c>
      <c r="S220" s="212" t="s">
        <v>77</v>
      </c>
    </row>
    <row r="221" spans="1:20" s="14" customFormat="1" ht="12" customHeight="1" x14ac:dyDescent="0.2">
      <c r="A221" s="485"/>
      <c r="B221" s="395">
        <v>2015</v>
      </c>
      <c r="C221" s="219">
        <v>107800</v>
      </c>
      <c r="D221" s="212" t="s">
        <v>85</v>
      </c>
      <c r="E221" s="232" t="s">
        <v>85</v>
      </c>
      <c r="F221" s="212" t="s">
        <v>85</v>
      </c>
      <c r="G221" s="221" t="s">
        <v>85</v>
      </c>
      <c r="H221" s="212" t="s">
        <v>85</v>
      </c>
      <c r="I221" s="221" t="s">
        <v>85</v>
      </c>
      <c r="J221" s="487"/>
      <c r="K221" s="92">
        <v>2015</v>
      </c>
      <c r="L221" s="212" t="s">
        <v>77</v>
      </c>
      <c r="M221" s="222" t="s">
        <v>77</v>
      </c>
      <c r="N221" s="212" t="s">
        <v>77</v>
      </c>
      <c r="O221" s="212" t="s">
        <v>77</v>
      </c>
      <c r="P221" s="212" t="s">
        <v>77</v>
      </c>
      <c r="Q221" s="212" t="s">
        <v>77</v>
      </c>
      <c r="R221" s="212" t="s">
        <v>77</v>
      </c>
      <c r="S221" s="212" t="s">
        <v>77</v>
      </c>
    </row>
    <row r="222" spans="1:20" s="14" customFormat="1" ht="12" customHeight="1" x14ac:dyDescent="0.2">
      <c r="A222" s="485"/>
      <c r="B222" s="395">
        <v>2016</v>
      </c>
      <c r="C222" s="219">
        <v>107800</v>
      </c>
      <c r="D222" s="212" t="s">
        <v>85</v>
      </c>
      <c r="E222" s="232" t="s">
        <v>85</v>
      </c>
      <c r="F222" s="212" t="s">
        <v>85</v>
      </c>
      <c r="G222" s="221" t="s">
        <v>85</v>
      </c>
      <c r="H222" s="212" t="s">
        <v>85</v>
      </c>
      <c r="I222" s="221" t="s">
        <v>85</v>
      </c>
      <c r="J222" s="487"/>
      <c r="K222" s="92">
        <v>2016</v>
      </c>
      <c r="L222" s="212" t="s">
        <v>77</v>
      </c>
      <c r="M222" s="222" t="s">
        <v>77</v>
      </c>
      <c r="N222" s="212" t="s">
        <v>77</v>
      </c>
      <c r="O222" s="212" t="s">
        <v>77</v>
      </c>
      <c r="P222" s="212" t="s">
        <v>77</v>
      </c>
      <c r="Q222" s="212" t="s">
        <v>77</v>
      </c>
      <c r="R222" s="212" t="s">
        <v>77</v>
      </c>
      <c r="S222" s="212" t="s">
        <v>77</v>
      </c>
    </row>
    <row r="223" spans="1:20" s="14" customFormat="1" ht="12" customHeight="1" x14ac:dyDescent="0.2">
      <c r="A223" s="485"/>
      <c r="B223" s="395">
        <v>2017</v>
      </c>
      <c r="C223" s="219">
        <v>114900</v>
      </c>
      <c r="D223" s="212" t="s">
        <v>85</v>
      </c>
      <c r="E223" s="232" t="s">
        <v>85</v>
      </c>
      <c r="F223" s="212" t="s">
        <v>85</v>
      </c>
      <c r="G223" s="221" t="s">
        <v>85</v>
      </c>
      <c r="H223" s="212" t="s">
        <v>85</v>
      </c>
      <c r="I223" s="221" t="s">
        <v>85</v>
      </c>
      <c r="J223" s="487"/>
      <c r="K223" s="92">
        <v>2017</v>
      </c>
      <c r="L223" s="212" t="s">
        <v>77</v>
      </c>
      <c r="M223" s="222" t="s">
        <v>77</v>
      </c>
      <c r="N223" s="212" t="s">
        <v>77</v>
      </c>
      <c r="O223" s="212" t="s">
        <v>77</v>
      </c>
      <c r="P223" s="212" t="s">
        <v>77</v>
      </c>
      <c r="Q223" s="212" t="s">
        <v>77</v>
      </c>
      <c r="R223" s="212" t="s">
        <v>77</v>
      </c>
      <c r="S223" s="212" t="s">
        <v>77</v>
      </c>
    </row>
    <row r="224" spans="1:20" s="14" customFormat="1" ht="12" customHeight="1" x14ac:dyDescent="0.2">
      <c r="A224" s="485"/>
      <c r="B224" s="395">
        <v>2018</v>
      </c>
      <c r="C224" s="398">
        <v>106450</v>
      </c>
      <c r="D224" s="235" t="s">
        <v>82</v>
      </c>
      <c r="E224" s="399" t="s">
        <v>82</v>
      </c>
      <c r="F224" s="235" t="s">
        <v>82</v>
      </c>
      <c r="G224" s="397" t="s">
        <v>82</v>
      </c>
      <c r="H224" s="235" t="s">
        <v>77</v>
      </c>
      <c r="I224" s="397" t="s">
        <v>77</v>
      </c>
      <c r="J224" s="487"/>
      <c r="K224" s="395">
        <v>2018</v>
      </c>
      <c r="L224" s="235" t="s">
        <v>77</v>
      </c>
      <c r="M224" s="250" t="s">
        <v>77</v>
      </c>
      <c r="N224" s="235" t="s">
        <v>77</v>
      </c>
      <c r="O224" s="235" t="s">
        <v>77</v>
      </c>
      <c r="P224" s="235" t="s">
        <v>77</v>
      </c>
      <c r="Q224" s="235" t="s">
        <v>77</v>
      </c>
      <c r="R224" s="235" t="s">
        <v>77</v>
      </c>
      <c r="S224" s="235" t="s">
        <v>77</v>
      </c>
      <c r="T224" s="42"/>
    </row>
    <row r="225" spans="1:20" s="14" customFormat="1" ht="12" customHeight="1" x14ac:dyDescent="0.2">
      <c r="A225" s="485"/>
      <c r="B225" s="395">
        <v>2019</v>
      </c>
      <c r="C225" s="398">
        <f>86270+5120</f>
        <v>91390</v>
      </c>
      <c r="D225" s="233">
        <v>86270</v>
      </c>
      <c r="E225" s="399">
        <v>1230</v>
      </c>
      <c r="F225" s="233">
        <v>5120</v>
      </c>
      <c r="G225" s="397">
        <v>415</v>
      </c>
      <c r="H225" s="235" t="s">
        <v>77</v>
      </c>
      <c r="I225" s="397" t="s">
        <v>77</v>
      </c>
      <c r="J225" s="487"/>
      <c r="K225" s="395">
        <v>2019</v>
      </c>
      <c r="L225" s="235" t="s">
        <v>77</v>
      </c>
      <c r="M225" s="250" t="s">
        <v>77</v>
      </c>
      <c r="N225" s="235" t="s">
        <v>77</v>
      </c>
      <c r="O225" s="235" t="s">
        <v>77</v>
      </c>
      <c r="P225" s="235" t="s">
        <v>77</v>
      </c>
      <c r="Q225" s="235" t="s">
        <v>77</v>
      </c>
      <c r="R225" s="235" t="s">
        <v>77</v>
      </c>
      <c r="S225" s="235" t="s">
        <v>77</v>
      </c>
    </row>
    <row r="226" spans="1:20" s="42" customFormat="1" ht="12" customHeight="1" x14ac:dyDescent="0.2">
      <c r="A226" s="488"/>
      <c r="B226" s="128">
        <v>2020</v>
      </c>
      <c r="C226" s="422">
        <v>103020</v>
      </c>
      <c r="D226" s="227" t="s">
        <v>82</v>
      </c>
      <c r="E226" s="439" t="s">
        <v>82</v>
      </c>
      <c r="F226" s="227" t="s">
        <v>82</v>
      </c>
      <c r="G226" s="228" t="s">
        <v>82</v>
      </c>
      <c r="H226" s="229" t="s">
        <v>77</v>
      </c>
      <c r="I226" s="228" t="s">
        <v>77</v>
      </c>
      <c r="J226" s="489"/>
      <c r="K226" s="128">
        <v>2020</v>
      </c>
      <c r="L226" s="229" t="s">
        <v>77</v>
      </c>
      <c r="M226" s="438" t="s">
        <v>77</v>
      </c>
      <c r="N226" s="229" t="s">
        <v>77</v>
      </c>
      <c r="O226" s="229" t="s">
        <v>77</v>
      </c>
      <c r="P226" s="229" t="s">
        <v>77</v>
      </c>
      <c r="Q226" s="229" t="s">
        <v>77</v>
      </c>
      <c r="R226" s="229" t="s">
        <v>77</v>
      </c>
      <c r="S226" s="229" t="s">
        <v>77</v>
      </c>
      <c r="T226" s="472"/>
    </row>
    <row r="227" spans="1:20" s="14" customFormat="1" ht="3" customHeight="1" x14ac:dyDescent="0.2">
      <c r="A227" s="485"/>
      <c r="B227" s="484"/>
      <c r="C227" s="490"/>
      <c r="D227" s="490"/>
      <c r="E227" s="491"/>
      <c r="F227" s="490"/>
      <c r="G227" s="359"/>
      <c r="H227" s="490"/>
      <c r="I227" s="492"/>
      <c r="J227" s="485"/>
      <c r="K227" s="52"/>
      <c r="L227" s="53"/>
      <c r="M227" s="77"/>
      <c r="N227" s="53"/>
      <c r="O227" s="53"/>
      <c r="P227" s="54"/>
      <c r="Q227" s="53"/>
      <c r="R227" s="54"/>
      <c r="S227" s="54"/>
    </row>
    <row r="228" spans="1:20" s="14" customFormat="1" ht="12" customHeight="1" x14ac:dyDescent="0.2">
      <c r="A228" s="485" t="s">
        <v>137</v>
      </c>
      <c r="B228" s="52">
        <v>2011</v>
      </c>
      <c r="C228" s="58">
        <v>137000</v>
      </c>
      <c r="D228" s="53" t="s">
        <v>77</v>
      </c>
      <c r="E228" s="166" t="s">
        <v>77</v>
      </c>
      <c r="F228" s="54">
        <v>137000</v>
      </c>
      <c r="G228" s="57">
        <v>1310</v>
      </c>
      <c r="H228" s="53" t="s">
        <v>85</v>
      </c>
      <c r="I228" s="57" t="s">
        <v>85</v>
      </c>
      <c r="J228" s="485" t="s">
        <v>137</v>
      </c>
      <c r="K228" s="52">
        <v>2011</v>
      </c>
      <c r="L228" s="53" t="s">
        <v>77</v>
      </c>
      <c r="M228" s="77" t="s">
        <v>77</v>
      </c>
      <c r="N228" s="53" t="s">
        <v>77</v>
      </c>
      <c r="O228" s="53" t="s">
        <v>77</v>
      </c>
      <c r="P228" s="54">
        <v>444000</v>
      </c>
      <c r="Q228" s="77">
        <v>404</v>
      </c>
      <c r="R228" s="54">
        <v>137000</v>
      </c>
      <c r="S228" s="57">
        <v>1310</v>
      </c>
    </row>
    <row r="229" spans="1:20" s="14" customFormat="1" ht="12" customHeight="1" x14ac:dyDescent="0.2">
      <c r="A229" s="493"/>
      <c r="B229" s="52">
        <v>2012</v>
      </c>
      <c r="C229" s="58">
        <v>138000</v>
      </c>
      <c r="D229" s="53" t="s">
        <v>77</v>
      </c>
      <c r="E229" s="166" t="s">
        <v>77</v>
      </c>
      <c r="F229" s="54">
        <v>138000</v>
      </c>
      <c r="G229" s="57">
        <v>1330</v>
      </c>
      <c r="H229" s="53" t="s">
        <v>85</v>
      </c>
      <c r="I229" s="57" t="s">
        <v>85</v>
      </c>
      <c r="J229" s="486"/>
      <c r="K229" s="52">
        <v>2012</v>
      </c>
      <c r="L229" s="53" t="s">
        <v>77</v>
      </c>
      <c r="M229" s="77" t="s">
        <v>77</v>
      </c>
      <c r="N229" s="53" t="s">
        <v>77</v>
      </c>
      <c r="O229" s="53" t="s">
        <v>77</v>
      </c>
      <c r="P229" s="54">
        <v>436100</v>
      </c>
      <c r="Q229" s="77">
        <v>421</v>
      </c>
      <c r="R229" s="54">
        <v>138000</v>
      </c>
      <c r="S229" s="57">
        <v>1330</v>
      </c>
    </row>
    <row r="230" spans="1:20" s="14" customFormat="1" ht="12" customHeight="1" x14ac:dyDescent="0.2">
      <c r="A230" s="493"/>
      <c r="B230" s="484">
        <v>2013</v>
      </c>
      <c r="C230" s="58">
        <v>85000</v>
      </c>
      <c r="D230" s="53" t="s">
        <v>77</v>
      </c>
      <c r="E230" s="166" t="s">
        <v>77</v>
      </c>
      <c r="F230" s="54">
        <v>85000</v>
      </c>
      <c r="G230" s="57">
        <v>2000</v>
      </c>
      <c r="H230" s="53" t="s">
        <v>85</v>
      </c>
      <c r="I230" s="57" t="s">
        <v>85</v>
      </c>
      <c r="J230" s="486"/>
      <c r="K230" s="52">
        <v>2013</v>
      </c>
      <c r="L230" s="53" t="s">
        <v>77</v>
      </c>
      <c r="M230" s="77" t="s">
        <v>77</v>
      </c>
      <c r="N230" s="53" t="s">
        <v>77</v>
      </c>
      <c r="O230" s="53" t="s">
        <v>77</v>
      </c>
      <c r="P230" s="54">
        <v>255000</v>
      </c>
      <c r="Q230" s="77">
        <v>667</v>
      </c>
      <c r="R230" s="54">
        <v>85000</v>
      </c>
      <c r="S230" s="57">
        <v>2000</v>
      </c>
    </row>
    <row r="231" spans="1:20" s="14" customFormat="1" ht="12" customHeight="1" x14ac:dyDescent="0.2">
      <c r="A231" s="493"/>
      <c r="B231" s="484">
        <v>2014</v>
      </c>
      <c r="C231" s="58">
        <v>108000</v>
      </c>
      <c r="D231" s="53" t="s">
        <v>77</v>
      </c>
      <c r="E231" s="166" t="s">
        <v>77</v>
      </c>
      <c r="F231" s="54">
        <v>108000</v>
      </c>
      <c r="G231" s="57">
        <v>2470</v>
      </c>
      <c r="H231" s="53" t="s">
        <v>85</v>
      </c>
      <c r="I231" s="57" t="s">
        <v>85</v>
      </c>
      <c r="J231" s="486"/>
      <c r="K231" s="52">
        <v>2014</v>
      </c>
      <c r="L231" s="53" t="s">
        <v>77</v>
      </c>
      <c r="M231" s="77" t="s">
        <v>77</v>
      </c>
      <c r="N231" s="53" t="s">
        <v>77</v>
      </c>
      <c r="O231" s="53" t="s">
        <v>77</v>
      </c>
      <c r="P231" s="54">
        <v>324000</v>
      </c>
      <c r="Q231" s="77">
        <v>823</v>
      </c>
      <c r="R231" s="54">
        <v>108000</v>
      </c>
      <c r="S231" s="57">
        <v>2470</v>
      </c>
    </row>
    <row r="232" spans="1:20" s="14" customFormat="1" ht="12" customHeight="1" x14ac:dyDescent="0.2">
      <c r="A232" s="493"/>
      <c r="B232" s="395">
        <v>2015</v>
      </c>
      <c r="C232" s="219">
        <v>110000</v>
      </c>
      <c r="D232" s="212" t="s">
        <v>77</v>
      </c>
      <c r="E232" s="232" t="s">
        <v>77</v>
      </c>
      <c r="F232" s="217">
        <v>110000</v>
      </c>
      <c r="G232" s="221">
        <v>2050</v>
      </c>
      <c r="H232" s="212" t="s">
        <v>85</v>
      </c>
      <c r="I232" s="221" t="s">
        <v>85</v>
      </c>
      <c r="J232" s="486"/>
      <c r="K232" s="92">
        <v>2015</v>
      </c>
      <c r="L232" s="212" t="s">
        <v>77</v>
      </c>
      <c r="M232" s="222" t="s">
        <v>77</v>
      </c>
      <c r="N232" s="212" t="s">
        <v>77</v>
      </c>
      <c r="O232" s="212" t="s">
        <v>77</v>
      </c>
      <c r="P232" s="217">
        <v>319000</v>
      </c>
      <c r="Q232" s="222">
        <v>707</v>
      </c>
      <c r="R232" s="217">
        <v>110000</v>
      </c>
      <c r="S232" s="221">
        <v>2050</v>
      </c>
    </row>
    <row r="233" spans="1:20" s="42" customFormat="1" ht="12" customHeight="1" x14ac:dyDescent="0.2">
      <c r="A233" s="493"/>
      <c r="B233" s="395">
        <v>2016</v>
      </c>
      <c r="C233" s="219">
        <v>54000</v>
      </c>
      <c r="D233" s="212" t="s">
        <v>77</v>
      </c>
      <c r="E233" s="232" t="s">
        <v>77</v>
      </c>
      <c r="F233" s="217">
        <v>54000</v>
      </c>
      <c r="G233" s="221">
        <v>2180</v>
      </c>
      <c r="H233" s="212" t="s">
        <v>85</v>
      </c>
      <c r="I233" s="221" t="s">
        <v>85</v>
      </c>
      <c r="J233" s="494"/>
      <c r="K233" s="92">
        <v>2016</v>
      </c>
      <c r="L233" s="212" t="s">
        <v>77</v>
      </c>
      <c r="M233" s="222" t="s">
        <v>77</v>
      </c>
      <c r="N233" s="212" t="s">
        <v>77</v>
      </c>
      <c r="O233" s="212" t="s">
        <v>77</v>
      </c>
      <c r="P233" s="217">
        <v>156600</v>
      </c>
      <c r="Q233" s="222">
        <v>752</v>
      </c>
      <c r="R233" s="217">
        <v>54000</v>
      </c>
      <c r="S233" s="221">
        <v>2180</v>
      </c>
      <c r="T233" s="14"/>
    </row>
    <row r="234" spans="1:20" s="42" customFormat="1" ht="12" customHeight="1" x14ac:dyDescent="0.2">
      <c r="A234" s="486"/>
      <c r="B234" s="395">
        <v>2017</v>
      </c>
      <c r="C234" s="219">
        <v>105000</v>
      </c>
      <c r="D234" s="212" t="s">
        <v>77</v>
      </c>
      <c r="E234" s="232" t="s">
        <v>77</v>
      </c>
      <c r="F234" s="217">
        <v>105000</v>
      </c>
      <c r="G234" s="221">
        <v>1980</v>
      </c>
      <c r="H234" s="212" t="s">
        <v>77</v>
      </c>
      <c r="I234" s="221" t="s">
        <v>77</v>
      </c>
      <c r="J234" s="494"/>
      <c r="K234" s="92">
        <v>2017</v>
      </c>
      <c r="L234" s="212" t="s">
        <v>77</v>
      </c>
      <c r="M234" s="222" t="s">
        <v>77</v>
      </c>
      <c r="N234" s="212" t="s">
        <v>77</v>
      </c>
      <c r="O234" s="212" t="s">
        <v>77</v>
      </c>
      <c r="P234" s="217">
        <v>325500</v>
      </c>
      <c r="Q234" s="222">
        <v>639</v>
      </c>
      <c r="R234" s="217">
        <v>105000</v>
      </c>
      <c r="S234" s="221">
        <v>1980</v>
      </c>
    </row>
    <row r="235" spans="1:20" s="14" customFormat="1" ht="12" customHeight="1" x14ac:dyDescent="0.2">
      <c r="A235" s="486"/>
      <c r="B235" s="484">
        <v>2018</v>
      </c>
      <c r="C235" s="398">
        <v>88000</v>
      </c>
      <c r="D235" s="235" t="s">
        <v>77</v>
      </c>
      <c r="E235" s="399" t="s">
        <v>77</v>
      </c>
      <c r="F235" s="233">
        <v>88000</v>
      </c>
      <c r="G235" s="397">
        <v>1910</v>
      </c>
      <c r="H235" s="235" t="s">
        <v>77</v>
      </c>
      <c r="I235" s="397" t="s">
        <v>77</v>
      </c>
      <c r="J235" s="494"/>
      <c r="K235" s="395">
        <v>2018</v>
      </c>
      <c r="L235" s="235" t="s">
        <v>77</v>
      </c>
      <c r="M235" s="250" t="s">
        <v>77</v>
      </c>
      <c r="N235" s="235" t="s">
        <v>77</v>
      </c>
      <c r="O235" s="235" t="s">
        <v>77</v>
      </c>
      <c r="P235" s="235" t="s">
        <v>77</v>
      </c>
      <c r="Q235" s="235" t="s">
        <v>77</v>
      </c>
      <c r="R235" s="235" t="s">
        <v>77</v>
      </c>
      <c r="S235" s="235" t="s">
        <v>77</v>
      </c>
      <c r="T235" s="42"/>
    </row>
    <row r="236" spans="1:20" s="164" customFormat="1" ht="12" customHeight="1" x14ac:dyDescent="0.2">
      <c r="A236" s="486"/>
      <c r="B236" s="484">
        <v>2019</v>
      </c>
      <c r="C236" s="398">
        <v>88370</v>
      </c>
      <c r="D236" s="235" t="s">
        <v>77</v>
      </c>
      <c r="E236" s="399" t="s">
        <v>77</v>
      </c>
      <c r="F236" s="233">
        <v>88370</v>
      </c>
      <c r="G236" s="397">
        <v>1800</v>
      </c>
      <c r="H236" s="235" t="s">
        <v>77</v>
      </c>
      <c r="I236" s="397" t="s">
        <v>77</v>
      </c>
      <c r="J236" s="494"/>
      <c r="K236" s="395">
        <v>2019</v>
      </c>
      <c r="L236" s="235" t="s">
        <v>77</v>
      </c>
      <c r="M236" s="235" t="s">
        <v>77</v>
      </c>
      <c r="N236" s="235" t="s">
        <v>77</v>
      </c>
      <c r="O236" s="235" t="s">
        <v>77</v>
      </c>
      <c r="P236" s="235" t="s">
        <v>77</v>
      </c>
      <c r="Q236" s="235" t="s">
        <v>77</v>
      </c>
      <c r="R236" s="235" t="s">
        <v>77</v>
      </c>
      <c r="S236" s="235" t="s">
        <v>77</v>
      </c>
      <c r="T236" s="14"/>
    </row>
    <row r="237" spans="1:20" s="164" customFormat="1" ht="12" customHeight="1" thickBot="1" x14ac:dyDescent="0.25">
      <c r="A237" s="495"/>
      <c r="B237" s="496">
        <v>2020</v>
      </c>
      <c r="C237" s="497">
        <v>57030</v>
      </c>
      <c r="D237" s="298" t="s">
        <v>77</v>
      </c>
      <c r="E237" s="299" t="s">
        <v>77</v>
      </c>
      <c r="F237" s="498">
        <v>57030</v>
      </c>
      <c r="G237" s="300">
        <v>1970</v>
      </c>
      <c r="H237" s="298" t="s">
        <v>77</v>
      </c>
      <c r="I237" s="300" t="s">
        <v>77</v>
      </c>
      <c r="J237" s="499"/>
      <c r="K237" s="500">
        <v>2020</v>
      </c>
      <c r="L237" s="298" t="s">
        <v>77</v>
      </c>
      <c r="M237" s="298" t="s">
        <v>77</v>
      </c>
      <c r="N237" s="298" t="s">
        <v>77</v>
      </c>
      <c r="O237" s="298" t="s">
        <v>77</v>
      </c>
      <c r="P237" s="298" t="s">
        <v>77</v>
      </c>
      <c r="Q237" s="298" t="s">
        <v>77</v>
      </c>
      <c r="R237" s="298" t="s">
        <v>77</v>
      </c>
      <c r="S237" s="298" t="s">
        <v>77</v>
      </c>
      <c r="T237" s="472"/>
    </row>
    <row r="238" spans="1:20" s="164" customFormat="1" ht="3" customHeight="1" x14ac:dyDescent="0.2">
      <c r="A238" s="48"/>
      <c r="B238" s="73"/>
      <c r="C238" s="400"/>
      <c r="D238" s="43"/>
      <c r="E238" s="230"/>
      <c r="F238" s="43"/>
      <c r="G238" s="230"/>
      <c r="H238" s="235"/>
      <c r="I238" s="397"/>
      <c r="J238" s="48"/>
      <c r="K238" s="73"/>
      <c r="L238" s="235"/>
      <c r="M238" s="250"/>
      <c r="N238" s="235"/>
      <c r="O238" s="235"/>
      <c r="P238" s="235"/>
      <c r="Q238" s="235"/>
      <c r="R238" s="235"/>
      <c r="S238" s="235"/>
      <c r="T238" s="42"/>
    </row>
    <row r="239" spans="1:20" s="164" customFormat="1" ht="12" customHeight="1" x14ac:dyDescent="0.15">
      <c r="A239" s="374"/>
      <c r="B239" s="167"/>
      <c r="C239" s="167"/>
      <c r="D239" s="167"/>
      <c r="E239" s="167"/>
      <c r="F239" s="167"/>
      <c r="G239" s="167"/>
      <c r="H239" s="167"/>
      <c r="I239" s="167"/>
      <c r="J239" s="293" t="s">
        <v>182</v>
      </c>
      <c r="L239" s="168"/>
      <c r="M239" s="169"/>
      <c r="N239" s="168"/>
      <c r="O239" s="169"/>
      <c r="P239" s="168"/>
      <c r="Q239" s="169"/>
      <c r="R239" s="168"/>
      <c r="S239" s="169"/>
    </row>
    <row r="240" spans="1:20" s="164" customFormat="1" ht="12" customHeight="1" x14ac:dyDescent="0.15">
      <c r="A240" s="374"/>
      <c r="B240" s="167"/>
      <c r="C240" s="167"/>
      <c r="D240" s="167"/>
      <c r="E240" s="167"/>
      <c r="F240" s="167"/>
      <c r="G240" s="167"/>
      <c r="H240" s="167"/>
      <c r="I240" s="167"/>
      <c r="J240" s="293" t="s">
        <v>183</v>
      </c>
    </row>
    <row r="241" spans="1:20" s="164" customFormat="1" ht="12" customHeight="1" x14ac:dyDescent="0.15">
      <c r="A241" s="374"/>
      <c r="B241" s="167"/>
      <c r="C241" s="167"/>
      <c r="D241" s="167"/>
      <c r="E241" s="167"/>
      <c r="F241" s="167"/>
      <c r="G241" s="167"/>
      <c r="H241" s="167"/>
      <c r="I241" s="167"/>
      <c r="J241" s="293" t="s">
        <v>184</v>
      </c>
    </row>
    <row r="242" spans="1:20" s="164" customFormat="1" ht="12" customHeight="1" x14ac:dyDescent="0.15">
      <c r="A242" s="374"/>
      <c r="B242" s="167"/>
      <c r="C242" s="167"/>
      <c r="D242" s="167"/>
      <c r="E242" s="167"/>
      <c r="F242" s="167"/>
      <c r="G242" s="167"/>
      <c r="H242" s="167"/>
      <c r="I242" s="167"/>
      <c r="J242" s="293" t="s">
        <v>185</v>
      </c>
    </row>
    <row r="243" spans="1:20" s="164" customFormat="1" ht="12" customHeight="1" x14ac:dyDescent="0.15">
      <c r="A243" s="374"/>
      <c r="B243" s="167"/>
      <c r="C243" s="167"/>
      <c r="D243" s="167"/>
      <c r="E243" s="167"/>
      <c r="F243" s="167"/>
      <c r="G243" s="167"/>
      <c r="H243" s="167"/>
      <c r="I243" s="167"/>
      <c r="J243" s="293" t="s">
        <v>186</v>
      </c>
    </row>
    <row r="244" spans="1:20" s="164" customFormat="1" ht="12" customHeight="1" x14ac:dyDescent="0.15">
      <c r="A244" s="374"/>
      <c r="B244" s="167"/>
      <c r="C244" s="167"/>
      <c r="D244" s="167"/>
      <c r="E244" s="167"/>
      <c r="F244" s="167"/>
      <c r="G244" s="167"/>
      <c r="H244" s="167"/>
      <c r="I244" s="167"/>
      <c r="J244" s="293" t="s">
        <v>187</v>
      </c>
    </row>
    <row r="245" spans="1:20" s="164" customFormat="1" ht="12" customHeight="1" x14ac:dyDescent="0.15">
      <c r="A245" s="374"/>
      <c r="B245" s="167"/>
      <c r="C245" s="167"/>
      <c r="D245" s="167"/>
      <c r="E245" s="167"/>
      <c r="F245" s="167"/>
      <c r="G245" s="167"/>
      <c r="H245" s="167"/>
      <c r="I245" s="167"/>
      <c r="J245" s="293" t="s">
        <v>188</v>
      </c>
    </row>
    <row r="246" spans="1:20" s="164" customFormat="1" ht="12" customHeight="1" x14ac:dyDescent="0.15">
      <c r="A246" s="374"/>
      <c r="B246" s="167"/>
      <c r="C246" s="167"/>
      <c r="D246" s="167"/>
      <c r="E246" s="167"/>
      <c r="F246" s="167"/>
      <c r="G246" s="167"/>
      <c r="H246" s="167"/>
      <c r="I246" s="167"/>
      <c r="J246" s="293" t="s">
        <v>189</v>
      </c>
    </row>
    <row r="247" spans="1:20" s="164" customFormat="1" ht="12" customHeight="1" x14ac:dyDescent="0.15">
      <c r="A247" s="374"/>
      <c r="B247" s="167"/>
      <c r="C247" s="167"/>
      <c r="D247" s="167"/>
      <c r="E247" s="167"/>
      <c r="F247" s="167"/>
      <c r="G247" s="167"/>
      <c r="H247" s="167"/>
      <c r="I247" s="167"/>
      <c r="J247" s="293" t="s">
        <v>190</v>
      </c>
    </row>
    <row r="248" spans="1:20" s="22" customFormat="1" ht="12" customHeight="1" x14ac:dyDescent="0.2">
      <c r="A248" s="374"/>
      <c r="B248" s="167"/>
      <c r="C248" s="167"/>
      <c r="D248" s="167"/>
      <c r="E248" s="167"/>
      <c r="F248" s="167"/>
      <c r="G248" s="167"/>
      <c r="H248" s="167"/>
      <c r="I248" s="167"/>
      <c r="J248" s="293" t="s">
        <v>84</v>
      </c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</row>
    <row r="249" spans="1:20" s="22" customFormat="1" ht="12" customHeight="1" x14ac:dyDescent="0.2">
      <c r="A249" s="48"/>
      <c r="B249" s="73"/>
      <c r="C249" s="32"/>
      <c r="D249" s="15"/>
      <c r="E249" s="15"/>
      <c r="F249" s="15"/>
      <c r="G249" s="15"/>
      <c r="H249" s="15"/>
      <c r="I249" s="15"/>
      <c r="J249" s="293" t="s">
        <v>86</v>
      </c>
      <c r="K249" s="73"/>
      <c r="L249" s="48"/>
      <c r="M249" s="48"/>
      <c r="N249" s="48"/>
      <c r="O249" s="48"/>
      <c r="P249" s="48"/>
      <c r="Q249" s="48"/>
      <c r="R249" s="48"/>
      <c r="S249" s="48"/>
    </row>
    <row r="250" spans="1:20" s="22" customFormat="1" ht="11.45" customHeight="1" x14ac:dyDescent="0.2">
      <c r="A250" s="48"/>
      <c r="B250" s="73"/>
      <c r="C250" s="32"/>
      <c r="D250" s="24"/>
      <c r="E250" s="23"/>
      <c r="F250" s="16"/>
      <c r="G250" s="23"/>
      <c r="H250" s="15"/>
      <c r="I250" s="15"/>
      <c r="J250" s="48"/>
      <c r="K250" s="73"/>
      <c r="L250" s="48"/>
      <c r="M250" s="48"/>
      <c r="N250" s="48"/>
      <c r="O250" s="48"/>
      <c r="P250" s="48"/>
      <c r="Q250" s="48"/>
      <c r="R250" s="48"/>
      <c r="S250" s="48"/>
    </row>
    <row r="251" spans="1:20" s="22" customFormat="1" ht="11.45" customHeight="1" x14ac:dyDescent="0.2">
      <c r="A251" s="48"/>
      <c r="B251" s="73"/>
      <c r="C251" s="32"/>
      <c r="D251" s="24"/>
      <c r="E251" s="23"/>
      <c r="F251" s="16"/>
      <c r="G251" s="23"/>
      <c r="H251" s="15"/>
      <c r="I251" s="15"/>
      <c r="J251" s="48"/>
      <c r="K251" s="73"/>
      <c r="L251" s="48"/>
      <c r="M251" s="48"/>
      <c r="N251" s="48"/>
      <c r="O251" s="48"/>
      <c r="P251" s="48"/>
      <c r="Q251" s="48"/>
      <c r="R251" s="48"/>
      <c r="S251" s="48"/>
    </row>
    <row r="252" spans="1:20" s="22" customFormat="1" ht="11.45" customHeight="1" x14ac:dyDescent="0.2">
      <c r="A252" s="375"/>
      <c r="B252" s="73"/>
      <c r="C252" s="32"/>
      <c r="D252" s="24"/>
      <c r="E252" s="23"/>
      <c r="F252" s="16"/>
      <c r="G252" s="23"/>
      <c r="H252" s="15"/>
      <c r="I252" s="15"/>
      <c r="J252" s="48"/>
      <c r="K252" s="73"/>
      <c r="L252" s="48"/>
      <c r="M252" s="48"/>
      <c r="N252" s="48"/>
      <c r="O252" s="48"/>
      <c r="P252" s="48"/>
      <c r="Q252" s="48"/>
      <c r="R252" s="48"/>
      <c r="S252" s="48"/>
    </row>
    <row r="253" spans="1:20" s="22" customFormat="1" ht="11.45" customHeight="1" x14ac:dyDescent="0.2">
      <c r="A253" s="48"/>
      <c r="B253" s="73"/>
      <c r="C253" s="32"/>
      <c r="D253" s="24"/>
      <c r="E253" s="23"/>
      <c r="F253" s="16"/>
      <c r="G253" s="23"/>
      <c r="H253" s="15"/>
      <c r="I253" s="15"/>
      <c r="J253" s="48"/>
      <c r="K253" s="73"/>
      <c r="L253" s="48"/>
      <c r="M253" s="48"/>
      <c r="N253" s="48"/>
      <c r="O253" s="48"/>
      <c r="P253" s="48"/>
      <c r="Q253" s="48"/>
      <c r="R253" s="48"/>
      <c r="S253" s="48"/>
    </row>
    <row r="254" spans="1:20" s="22" customFormat="1" ht="11.45" customHeight="1" x14ac:dyDescent="0.2">
      <c r="A254" s="48"/>
      <c r="B254" s="73"/>
      <c r="C254" s="32"/>
      <c r="D254" s="15"/>
      <c r="E254" s="15"/>
      <c r="F254" s="15"/>
      <c r="G254" s="15"/>
      <c r="H254" s="15"/>
      <c r="I254" s="15"/>
      <c r="J254" s="48"/>
      <c r="K254" s="73"/>
    </row>
    <row r="255" spans="1:20" s="22" customFormat="1" ht="11.45" customHeight="1" x14ac:dyDescent="0.2">
      <c r="A255" s="48"/>
      <c r="B255" s="73"/>
      <c r="C255" s="32"/>
      <c r="D255" s="33"/>
      <c r="E255" s="33"/>
      <c r="F255" s="33"/>
      <c r="G255" s="34"/>
      <c r="H255" s="15"/>
      <c r="I255" s="15"/>
      <c r="J255" s="48"/>
      <c r="K255" s="73"/>
    </row>
    <row r="256" spans="1:20" s="22" customFormat="1" ht="11.45" customHeight="1" x14ac:dyDescent="0.2">
      <c r="A256" s="48"/>
      <c r="B256" s="73"/>
      <c r="C256" s="32"/>
      <c r="D256" s="24"/>
      <c r="E256" s="23"/>
      <c r="F256" s="16"/>
      <c r="G256" s="23"/>
      <c r="H256" s="15"/>
      <c r="I256" s="15"/>
      <c r="J256" s="48"/>
      <c r="K256" s="73"/>
    </row>
    <row r="257" spans="1:11" s="22" customFormat="1" ht="11.45" customHeight="1" x14ac:dyDescent="0.2">
      <c r="A257" s="48"/>
      <c r="B257" s="73"/>
      <c r="C257" s="32"/>
      <c r="D257" s="24"/>
      <c r="E257" s="23"/>
      <c r="F257" s="16"/>
      <c r="G257" s="23"/>
      <c r="H257" s="15"/>
      <c r="I257" s="15"/>
      <c r="J257" s="48"/>
      <c r="K257" s="73"/>
    </row>
    <row r="258" spans="1:11" s="22" customFormat="1" ht="11.45" customHeight="1" x14ac:dyDescent="0.2">
      <c r="A258" s="48"/>
      <c r="B258" s="73"/>
      <c r="C258" s="32"/>
      <c r="D258" s="24"/>
      <c r="E258" s="23"/>
      <c r="F258" s="16"/>
      <c r="G258" s="23"/>
      <c r="H258" s="15"/>
      <c r="I258" s="15"/>
      <c r="J258" s="48"/>
      <c r="K258" s="73"/>
    </row>
    <row r="259" spans="1:11" s="22" customFormat="1" ht="11.45" customHeight="1" x14ac:dyDescent="0.2">
      <c r="A259" s="48"/>
      <c r="B259" s="73"/>
      <c r="C259" s="32"/>
      <c r="D259" s="15"/>
      <c r="E259" s="15"/>
      <c r="F259" s="15"/>
      <c r="G259" s="15"/>
      <c r="H259" s="15"/>
      <c r="I259" s="15"/>
      <c r="J259" s="48"/>
      <c r="K259" s="73"/>
    </row>
    <row r="260" spans="1:11" s="22" customFormat="1" ht="11.45" customHeight="1" x14ac:dyDescent="0.2">
      <c r="A260" s="48"/>
      <c r="B260" s="73"/>
      <c r="C260" s="32"/>
      <c r="D260" s="33"/>
      <c r="E260" s="33"/>
      <c r="F260" s="33"/>
      <c r="G260" s="34"/>
      <c r="H260" s="15"/>
      <c r="I260" s="15"/>
      <c r="J260" s="48"/>
      <c r="K260" s="73"/>
    </row>
    <row r="261" spans="1:11" s="22" customFormat="1" ht="11.45" customHeight="1" x14ac:dyDescent="0.2">
      <c r="A261" s="48"/>
      <c r="B261" s="73"/>
      <c r="C261" s="32"/>
      <c r="D261" s="24"/>
      <c r="E261" s="23"/>
      <c r="F261" s="16"/>
      <c r="G261" s="23"/>
      <c r="H261" s="15"/>
      <c r="I261" s="15"/>
      <c r="J261" s="48"/>
      <c r="K261" s="73"/>
    </row>
    <row r="262" spans="1:11" s="22" customFormat="1" ht="11.45" customHeight="1" x14ac:dyDescent="0.2">
      <c r="A262" s="48"/>
      <c r="B262" s="73"/>
      <c r="C262" s="32"/>
      <c r="D262" s="24"/>
      <c r="E262" s="23"/>
      <c r="F262" s="16"/>
      <c r="G262" s="23"/>
      <c r="H262" s="15"/>
      <c r="I262" s="15"/>
      <c r="J262" s="48"/>
      <c r="K262" s="73"/>
    </row>
    <row r="263" spans="1:11" s="22" customFormat="1" ht="11.45" customHeight="1" x14ac:dyDescent="0.2">
      <c r="A263" s="48"/>
      <c r="B263" s="73"/>
      <c r="C263" s="32"/>
      <c r="D263" s="24"/>
      <c r="E263" s="23"/>
      <c r="F263" s="16"/>
      <c r="G263" s="23"/>
      <c r="H263" s="15"/>
      <c r="I263" s="15"/>
      <c r="J263" s="48"/>
      <c r="K263" s="73"/>
    </row>
    <row r="264" spans="1:11" s="22" customFormat="1" ht="11.45" customHeight="1" x14ac:dyDescent="0.2">
      <c r="A264" s="48"/>
      <c r="B264" s="73"/>
      <c r="C264" s="32"/>
      <c r="D264" s="24"/>
      <c r="E264" s="23"/>
      <c r="F264" s="16"/>
      <c r="G264" s="23"/>
      <c r="H264" s="15"/>
      <c r="I264" s="15"/>
      <c r="J264" s="48"/>
      <c r="K264" s="73"/>
    </row>
    <row r="265" spans="1:11" s="22" customFormat="1" ht="11.45" customHeight="1" x14ac:dyDescent="0.2">
      <c r="A265" s="48"/>
      <c r="B265" s="73"/>
      <c r="C265" s="32"/>
      <c r="D265" s="24"/>
      <c r="E265" s="23"/>
      <c r="F265" s="16"/>
      <c r="G265" s="23"/>
      <c r="H265" s="15"/>
      <c r="I265" s="15"/>
      <c r="J265" s="48"/>
      <c r="K265" s="73"/>
    </row>
    <row r="266" spans="1:11" s="22" customFormat="1" ht="11.45" customHeight="1" x14ac:dyDescent="0.2">
      <c r="A266" s="48"/>
      <c r="B266" s="73"/>
      <c r="C266" s="32"/>
      <c r="D266" s="24"/>
      <c r="E266" s="23"/>
      <c r="F266" s="16"/>
      <c r="G266" s="23"/>
      <c r="H266" s="15"/>
      <c r="I266" s="15"/>
      <c r="J266" s="48"/>
      <c r="K266" s="73"/>
    </row>
    <row r="267" spans="1:11" s="22" customFormat="1" ht="11.45" customHeight="1" x14ac:dyDescent="0.2">
      <c r="A267" s="48"/>
      <c r="B267" s="73"/>
      <c r="C267" s="32"/>
      <c r="D267" s="24"/>
      <c r="E267" s="23"/>
      <c r="F267" s="16"/>
      <c r="G267" s="23"/>
      <c r="H267" s="15"/>
      <c r="I267" s="15"/>
      <c r="J267" s="48"/>
      <c r="K267" s="73"/>
    </row>
    <row r="268" spans="1:11" s="22" customFormat="1" ht="11.45" customHeight="1" x14ac:dyDescent="0.2">
      <c r="A268" s="48"/>
      <c r="B268" s="73"/>
      <c r="C268" s="32"/>
      <c r="D268" s="24"/>
      <c r="E268" s="23"/>
      <c r="F268" s="16"/>
      <c r="G268" s="23"/>
      <c r="H268" s="15"/>
      <c r="I268" s="15"/>
      <c r="J268" s="48"/>
      <c r="K268" s="73"/>
    </row>
    <row r="269" spans="1:11" s="22" customFormat="1" ht="11.45" customHeight="1" x14ac:dyDescent="0.2">
      <c r="A269" s="48"/>
      <c r="B269" s="73"/>
      <c r="C269" s="32"/>
      <c r="D269" s="15"/>
      <c r="E269" s="15"/>
      <c r="F269" s="15"/>
      <c r="G269" s="15"/>
      <c r="H269" s="15"/>
      <c r="I269" s="15"/>
      <c r="J269" s="48"/>
      <c r="K269" s="73"/>
    </row>
    <row r="270" spans="1:11" s="22" customFormat="1" ht="11.45" customHeight="1" x14ac:dyDescent="0.2">
      <c r="A270" s="48"/>
      <c r="B270" s="73"/>
      <c r="C270" s="32"/>
      <c r="D270" s="33"/>
      <c r="E270" s="33"/>
      <c r="F270" s="33"/>
      <c r="G270" s="34"/>
      <c r="H270" s="15"/>
      <c r="I270" s="15"/>
      <c r="J270" s="48"/>
      <c r="K270" s="73"/>
    </row>
    <row r="271" spans="1:11" s="22" customFormat="1" ht="11.45" customHeight="1" x14ac:dyDescent="0.2">
      <c r="A271" s="48"/>
      <c r="B271" s="73"/>
      <c r="C271" s="32"/>
      <c r="D271" s="24"/>
      <c r="E271" s="23"/>
      <c r="F271" s="16"/>
      <c r="G271" s="23"/>
      <c r="H271" s="15"/>
      <c r="I271" s="15"/>
      <c r="J271" s="48"/>
      <c r="K271" s="73"/>
    </row>
    <row r="272" spans="1:11" s="22" customFormat="1" ht="11.45" customHeight="1" x14ac:dyDescent="0.2">
      <c r="A272" s="48"/>
      <c r="B272" s="73"/>
      <c r="C272" s="32"/>
      <c r="D272" s="24"/>
      <c r="E272" s="23"/>
      <c r="F272" s="16"/>
      <c r="G272" s="23"/>
      <c r="H272" s="15"/>
      <c r="I272" s="15"/>
      <c r="J272" s="48"/>
      <c r="K272" s="73"/>
    </row>
    <row r="273" spans="1:19" s="22" customFormat="1" ht="11.45" customHeight="1" x14ac:dyDescent="0.2">
      <c r="A273" s="48"/>
      <c r="B273" s="73"/>
      <c r="C273" s="32"/>
      <c r="D273" s="24"/>
      <c r="E273" s="23"/>
      <c r="F273" s="16"/>
      <c r="G273" s="23"/>
      <c r="H273" s="15"/>
      <c r="I273" s="15"/>
      <c r="J273" s="48"/>
      <c r="K273" s="73"/>
    </row>
    <row r="274" spans="1:19" s="22" customFormat="1" ht="11.45" customHeight="1" x14ac:dyDescent="0.2">
      <c r="A274" s="48"/>
      <c r="B274" s="73"/>
      <c r="C274" s="32"/>
      <c r="D274" s="24"/>
      <c r="E274" s="23"/>
      <c r="F274" s="16"/>
      <c r="G274" s="23"/>
      <c r="H274" s="15"/>
      <c r="I274" s="15"/>
      <c r="J274" s="48"/>
      <c r="K274" s="73"/>
    </row>
    <row r="275" spans="1:19" s="22" customFormat="1" ht="11.45" customHeight="1" x14ac:dyDescent="0.2">
      <c r="A275" s="48"/>
      <c r="B275" s="73"/>
      <c r="C275" s="32"/>
      <c r="D275" s="24"/>
      <c r="E275" s="23"/>
      <c r="F275" s="16"/>
      <c r="G275" s="23"/>
      <c r="H275" s="15"/>
      <c r="I275" s="15"/>
      <c r="J275" s="48"/>
      <c r="K275" s="73"/>
    </row>
    <row r="276" spans="1:19" s="22" customFormat="1" ht="11.45" customHeight="1" x14ac:dyDescent="0.2">
      <c r="A276" s="48"/>
      <c r="B276" s="73"/>
      <c r="C276" s="32"/>
      <c r="D276" s="24"/>
      <c r="E276" s="23"/>
      <c r="F276" s="16"/>
      <c r="G276" s="23"/>
      <c r="H276" s="15"/>
      <c r="I276" s="15"/>
      <c r="J276" s="48"/>
      <c r="K276" s="73"/>
    </row>
    <row r="277" spans="1:19" s="22" customFormat="1" ht="11.45" customHeight="1" x14ac:dyDescent="0.2">
      <c r="A277" s="48"/>
      <c r="B277" s="73"/>
      <c r="C277" s="32"/>
      <c r="D277" s="24"/>
      <c r="E277" s="23"/>
      <c r="F277" s="16"/>
      <c r="G277" s="23"/>
      <c r="H277" s="15"/>
      <c r="I277" s="15"/>
      <c r="J277" s="48"/>
      <c r="K277" s="73"/>
    </row>
    <row r="278" spans="1:19" s="22" customFormat="1" ht="11.45" customHeight="1" x14ac:dyDescent="0.2">
      <c r="A278" s="48"/>
      <c r="B278" s="73"/>
      <c r="C278" s="32"/>
      <c r="D278" s="24"/>
      <c r="E278" s="23"/>
      <c r="F278" s="16"/>
      <c r="G278" s="23"/>
      <c r="H278" s="15"/>
      <c r="I278" s="15"/>
      <c r="J278" s="48"/>
      <c r="K278" s="73"/>
    </row>
    <row r="279" spans="1:19" s="22" customFormat="1" ht="11.45" customHeight="1" x14ac:dyDescent="0.2">
      <c r="A279" s="48"/>
      <c r="B279" s="73"/>
      <c r="C279" s="32"/>
      <c r="D279" s="15"/>
      <c r="E279" s="15"/>
      <c r="F279" s="15"/>
      <c r="G279" s="15"/>
      <c r="H279" s="15"/>
      <c r="I279" s="15"/>
      <c r="J279" s="48"/>
      <c r="K279" s="73"/>
    </row>
    <row r="280" spans="1:19" s="22" customFormat="1" ht="11.45" customHeight="1" x14ac:dyDescent="0.2">
      <c r="A280" s="48"/>
      <c r="B280" s="73"/>
      <c r="C280" s="32"/>
      <c r="D280" s="33"/>
      <c r="E280" s="33"/>
      <c r="F280" s="33"/>
      <c r="G280" s="34"/>
      <c r="H280" s="15"/>
      <c r="I280" s="15"/>
      <c r="J280" s="48"/>
      <c r="K280" s="73"/>
    </row>
    <row r="281" spans="1:19" s="22" customFormat="1" ht="11.45" customHeight="1" x14ac:dyDescent="0.2">
      <c r="A281" s="48"/>
      <c r="B281" s="73"/>
      <c r="C281" s="32"/>
      <c r="D281" s="24"/>
      <c r="E281" s="23"/>
      <c r="F281" s="16"/>
      <c r="G281" s="23"/>
      <c r="H281" s="15"/>
      <c r="I281" s="15"/>
      <c r="J281" s="48"/>
      <c r="K281" s="73"/>
    </row>
    <row r="282" spans="1:19" s="22" customFormat="1" ht="11.45" customHeight="1" x14ac:dyDescent="0.2">
      <c r="A282" s="48"/>
      <c r="B282" s="73"/>
      <c r="C282" s="32"/>
      <c r="D282" s="24"/>
      <c r="E282" s="23"/>
      <c r="F282" s="16"/>
      <c r="G282" s="23"/>
      <c r="H282" s="15"/>
      <c r="I282" s="15"/>
      <c r="J282" s="48"/>
      <c r="K282" s="73"/>
    </row>
    <row r="283" spans="1:19" s="22" customFormat="1" ht="11.45" customHeight="1" x14ac:dyDescent="0.2">
      <c r="A283" s="48"/>
      <c r="B283" s="73"/>
      <c r="C283" s="32"/>
      <c r="D283" s="24"/>
      <c r="E283" s="23"/>
      <c r="F283" s="16"/>
      <c r="G283" s="23"/>
      <c r="H283" s="15"/>
      <c r="I283" s="15"/>
      <c r="J283" s="48"/>
      <c r="K283" s="73"/>
    </row>
    <row r="284" spans="1:19" s="22" customFormat="1" ht="11.45" customHeight="1" x14ac:dyDescent="0.2">
      <c r="A284" s="48"/>
      <c r="B284" s="73"/>
      <c r="C284" s="32"/>
      <c r="D284" s="24"/>
      <c r="E284" s="23"/>
      <c r="F284" s="16"/>
      <c r="G284" s="23"/>
      <c r="H284" s="15"/>
      <c r="I284" s="15"/>
      <c r="J284" s="48"/>
      <c r="K284" s="73"/>
    </row>
    <row r="285" spans="1:19" s="22" customFormat="1" ht="11.45" customHeight="1" x14ac:dyDescent="0.2">
      <c r="A285" s="48"/>
      <c r="B285" s="73"/>
      <c r="C285" s="32"/>
      <c r="D285" s="24"/>
      <c r="E285" s="23"/>
      <c r="F285" s="16"/>
      <c r="G285" s="23"/>
      <c r="H285" s="15"/>
      <c r="I285" s="15"/>
      <c r="J285" s="48"/>
      <c r="K285" s="73"/>
    </row>
    <row r="286" spans="1:19" s="22" customFormat="1" ht="11.45" customHeight="1" x14ac:dyDescent="0.2">
      <c r="A286" s="48"/>
      <c r="B286" s="73"/>
      <c r="C286" s="32"/>
      <c r="D286" s="24"/>
      <c r="E286" s="23"/>
      <c r="F286" s="16"/>
      <c r="G286" s="23"/>
      <c r="H286" s="15"/>
      <c r="I286" s="15"/>
      <c r="J286" s="48"/>
      <c r="K286" s="73"/>
      <c r="L286" s="48"/>
      <c r="M286" s="48"/>
      <c r="N286" s="48"/>
      <c r="O286" s="48"/>
      <c r="P286" s="48"/>
      <c r="Q286" s="48"/>
      <c r="R286" s="48"/>
      <c r="S286" s="48"/>
    </row>
    <row r="287" spans="1:19" s="22" customFormat="1" ht="11.45" customHeight="1" x14ac:dyDescent="0.2">
      <c r="A287" s="48"/>
      <c r="B287" s="73"/>
      <c r="C287" s="32"/>
      <c r="D287" s="24"/>
      <c r="E287" s="23"/>
      <c r="F287" s="16"/>
      <c r="G287" s="23"/>
      <c r="H287" s="15"/>
      <c r="I287" s="15"/>
      <c r="J287" s="48"/>
      <c r="K287" s="73"/>
      <c r="L287" s="48"/>
      <c r="M287" s="48"/>
      <c r="N287" s="48"/>
      <c r="O287" s="48"/>
      <c r="P287" s="48"/>
      <c r="Q287" s="48"/>
      <c r="R287" s="48"/>
      <c r="S287" s="48"/>
    </row>
    <row r="288" spans="1:19" s="22" customFormat="1" ht="11.45" customHeight="1" x14ac:dyDescent="0.2">
      <c r="A288" s="48"/>
      <c r="B288" s="73"/>
      <c r="C288" s="32"/>
      <c r="D288" s="24"/>
      <c r="E288" s="23"/>
      <c r="F288" s="16"/>
      <c r="G288" s="23"/>
      <c r="H288" s="15"/>
      <c r="I288" s="15"/>
      <c r="J288" s="48"/>
      <c r="K288" s="73"/>
      <c r="L288" s="48"/>
      <c r="M288" s="48"/>
      <c r="N288" s="48"/>
      <c r="O288" s="48"/>
      <c r="P288" s="48"/>
      <c r="Q288" s="48"/>
      <c r="R288" s="48"/>
      <c r="S288" s="48"/>
    </row>
    <row r="289" spans="1:20" s="22" customFormat="1" ht="11.45" customHeight="1" x14ac:dyDescent="0.2">
      <c r="A289" s="48"/>
      <c r="B289" s="73"/>
      <c r="C289" s="32"/>
      <c r="D289" s="24"/>
      <c r="E289" s="23"/>
      <c r="F289" s="16"/>
      <c r="G289" s="23"/>
      <c r="H289" s="15"/>
      <c r="I289" s="15"/>
      <c r="J289" s="48"/>
      <c r="K289" s="73"/>
      <c r="L289" s="48"/>
      <c r="M289" s="48"/>
      <c r="N289" s="48"/>
      <c r="O289" s="48"/>
      <c r="P289" s="48"/>
      <c r="Q289" s="48"/>
      <c r="R289" s="48"/>
      <c r="S289" s="48"/>
    </row>
    <row r="290" spans="1:20" s="22" customFormat="1" ht="11.45" customHeight="1" x14ac:dyDescent="0.2">
      <c r="A290" s="48"/>
      <c r="B290" s="73"/>
      <c r="C290" s="32"/>
      <c r="D290" s="35"/>
      <c r="E290" s="36"/>
      <c r="F290" s="37"/>
      <c r="G290" s="36"/>
      <c r="H290" s="48"/>
      <c r="I290" s="48"/>
      <c r="J290" s="48"/>
      <c r="K290" s="73"/>
      <c r="L290" s="48"/>
      <c r="M290" s="48"/>
      <c r="N290" s="48"/>
      <c r="O290" s="48"/>
      <c r="P290" s="48"/>
      <c r="Q290" s="48"/>
      <c r="R290" s="48"/>
      <c r="S290" s="48"/>
    </row>
    <row r="291" spans="1:20" s="22" customFormat="1" ht="11.45" customHeight="1" x14ac:dyDescent="0.2">
      <c r="A291" s="48"/>
      <c r="B291" s="73"/>
      <c r="C291" s="32"/>
      <c r="D291" s="48"/>
      <c r="E291" s="48"/>
      <c r="F291" s="48"/>
      <c r="G291" s="48"/>
      <c r="H291" s="48"/>
      <c r="I291" s="48"/>
      <c r="J291" s="48"/>
      <c r="K291" s="73"/>
      <c r="L291" s="48"/>
      <c r="M291" s="48"/>
      <c r="N291" s="48"/>
      <c r="O291" s="48"/>
      <c r="P291" s="48"/>
      <c r="Q291" s="48"/>
      <c r="R291" s="48"/>
      <c r="S291" s="48"/>
    </row>
    <row r="292" spans="1:20" s="22" customFormat="1" ht="11.45" customHeight="1" x14ac:dyDescent="0.2">
      <c r="A292" s="48"/>
      <c r="B292" s="73"/>
      <c r="C292" s="32"/>
      <c r="D292" s="38"/>
      <c r="E292" s="38"/>
      <c r="F292" s="38"/>
      <c r="G292" s="39"/>
      <c r="H292" s="48"/>
      <c r="I292" s="48"/>
      <c r="J292" s="48"/>
      <c r="K292" s="73"/>
      <c r="L292" s="48"/>
      <c r="M292" s="48"/>
      <c r="N292" s="48"/>
      <c r="O292" s="48"/>
      <c r="P292" s="48"/>
      <c r="Q292" s="48"/>
      <c r="R292" s="48"/>
      <c r="S292" s="48"/>
    </row>
    <row r="293" spans="1:20" s="22" customFormat="1" ht="11.45" customHeight="1" x14ac:dyDescent="0.2">
      <c r="A293" s="48"/>
      <c r="B293" s="73"/>
      <c r="C293" s="32"/>
      <c r="D293" s="35"/>
      <c r="E293" s="36"/>
      <c r="F293" s="37"/>
      <c r="G293" s="36"/>
      <c r="H293" s="48"/>
      <c r="I293" s="48"/>
      <c r="J293" s="48"/>
      <c r="K293" s="73"/>
      <c r="L293" s="48"/>
      <c r="M293" s="48"/>
      <c r="N293" s="48"/>
      <c r="O293" s="48"/>
      <c r="P293" s="48"/>
      <c r="Q293" s="48"/>
      <c r="R293" s="48"/>
      <c r="S293" s="48"/>
    </row>
    <row r="294" spans="1:20" ht="11.45" customHeight="1" x14ac:dyDescent="0.2">
      <c r="C294" s="32"/>
      <c r="D294" s="35"/>
      <c r="E294" s="36"/>
      <c r="F294" s="37"/>
      <c r="G294" s="36"/>
      <c r="H294" s="48"/>
      <c r="I294" s="48"/>
      <c r="L294" s="48"/>
      <c r="M294" s="48"/>
      <c r="N294" s="48"/>
      <c r="O294" s="48"/>
      <c r="P294" s="48"/>
      <c r="Q294" s="48"/>
      <c r="R294" s="48"/>
      <c r="S294" s="48"/>
      <c r="T294" s="22"/>
    </row>
    <row r="295" spans="1:20" ht="11.45" customHeight="1" x14ac:dyDescent="0.2">
      <c r="C295" s="32"/>
      <c r="D295" s="12"/>
      <c r="E295" s="8"/>
      <c r="F295" s="9"/>
      <c r="G295" s="8"/>
    </row>
    <row r="296" spans="1:20" ht="11.45" customHeight="1" x14ac:dyDescent="0.2">
      <c r="C296" s="32"/>
      <c r="D296" s="12"/>
      <c r="E296" s="8"/>
      <c r="F296" s="9"/>
      <c r="G296" s="8"/>
    </row>
    <row r="297" spans="1:20" ht="11.45" customHeight="1" x14ac:dyDescent="0.2">
      <c r="C297" s="32"/>
      <c r="D297" s="12"/>
      <c r="E297" s="8"/>
      <c r="F297" s="9"/>
      <c r="G297" s="8"/>
    </row>
    <row r="298" spans="1:20" ht="11.45" customHeight="1" x14ac:dyDescent="0.2">
      <c r="C298" s="32"/>
      <c r="D298" s="12"/>
      <c r="E298" s="8"/>
      <c r="F298" s="9"/>
      <c r="G298" s="8"/>
    </row>
    <row r="299" spans="1:20" ht="11.45" customHeight="1" x14ac:dyDescent="0.2">
      <c r="C299" s="32"/>
      <c r="D299" s="12"/>
      <c r="E299" s="8"/>
      <c r="F299" s="9"/>
      <c r="G299" s="8"/>
    </row>
    <row r="300" spans="1:20" ht="11.45" customHeight="1" x14ac:dyDescent="0.2">
      <c r="C300" s="32"/>
      <c r="D300" s="12"/>
      <c r="E300" s="8"/>
      <c r="F300" s="9"/>
      <c r="G300" s="8"/>
    </row>
    <row r="301" spans="1:20" ht="11.45" customHeight="1" x14ac:dyDescent="0.2">
      <c r="C301" s="32"/>
      <c r="D301" s="12"/>
      <c r="E301" s="8"/>
      <c r="F301" s="9"/>
      <c r="G301" s="8"/>
    </row>
    <row r="302" spans="1:20" ht="11.45" customHeight="1" x14ac:dyDescent="0.2">
      <c r="C302" s="32"/>
      <c r="D302" s="12"/>
      <c r="E302" s="8"/>
      <c r="F302" s="9"/>
      <c r="G302" s="8"/>
    </row>
    <row r="303" spans="1:20" ht="11.45" customHeight="1" x14ac:dyDescent="0.2">
      <c r="C303" s="32"/>
    </row>
    <row r="304" spans="1:20" ht="11.45" customHeight="1" x14ac:dyDescent="0.2">
      <c r="C304" s="32"/>
      <c r="D304" s="2"/>
      <c r="E304" s="2"/>
      <c r="F304" s="2"/>
      <c r="G304" s="3"/>
    </row>
    <row r="305" spans="3:7" ht="11.45" customHeight="1" x14ac:dyDescent="0.2">
      <c r="C305" s="32"/>
      <c r="D305" s="12"/>
      <c r="E305" s="8"/>
      <c r="F305" s="9"/>
      <c r="G305" s="8"/>
    </row>
    <row r="306" spans="3:7" ht="11.45" customHeight="1" x14ac:dyDescent="0.2">
      <c r="C306" s="32"/>
      <c r="D306" s="12"/>
      <c r="E306" s="8"/>
      <c r="F306" s="9"/>
      <c r="G306" s="8"/>
    </row>
    <row r="307" spans="3:7" ht="11.45" customHeight="1" x14ac:dyDescent="0.2">
      <c r="C307" s="32"/>
      <c r="D307" s="12"/>
      <c r="E307" s="8"/>
      <c r="F307" s="9"/>
      <c r="G307" s="8"/>
    </row>
    <row r="308" spans="3:7" ht="11.45" customHeight="1" x14ac:dyDescent="0.2">
      <c r="C308" s="32"/>
      <c r="D308" s="12"/>
      <c r="E308" s="8"/>
      <c r="F308" s="9"/>
      <c r="G308" s="8"/>
    </row>
    <row r="309" spans="3:7" ht="11.45" customHeight="1" x14ac:dyDescent="0.2">
      <c r="C309" s="32"/>
      <c r="D309" s="12"/>
      <c r="E309" s="8"/>
      <c r="F309" s="9"/>
      <c r="G309" s="8"/>
    </row>
    <row r="310" spans="3:7" ht="11.45" customHeight="1" x14ac:dyDescent="0.2">
      <c r="C310" s="32"/>
      <c r="D310" s="12"/>
      <c r="E310" s="8"/>
      <c r="F310" s="9"/>
      <c r="G310" s="8"/>
    </row>
    <row r="311" spans="3:7" ht="11.45" customHeight="1" x14ac:dyDescent="0.2">
      <c r="C311" s="32"/>
      <c r="D311" s="12"/>
      <c r="E311" s="8"/>
      <c r="F311" s="9"/>
      <c r="G311" s="8"/>
    </row>
    <row r="312" spans="3:7" ht="11.45" customHeight="1" x14ac:dyDescent="0.2">
      <c r="C312" s="32"/>
      <c r="D312" s="12"/>
      <c r="E312" s="8"/>
      <c r="F312" s="9"/>
      <c r="G312" s="8"/>
    </row>
    <row r="313" spans="3:7" ht="11.45" customHeight="1" x14ac:dyDescent="0.2">
      <c r="C313" s="32"/>
      <c r="D313" s="12"/>
      <c r="E313" s="8"/>
      <c r="F313" s="9"/>
      <c r="G313" s="8"/>
    </row>
    <row r="314" spans="3:7" ht="11.45" customHeight="1" x14ac:dyDescent="0.2">
      <c r="C314" s="32"/>
      <c r="D314" s="12"/>
      <c r="E314" s="8"/>
      <c r="F314" s="9"/>
      <c r="G314" s="8"/>
    </row>
    <row r="315" spans="3:7" ht="11.45" customHeight="1" x14ac:dyDescent="0.2">
      <c r="C315" s="32"/>
    </row>
    <row r="316" spans="3:7" ht="11.45" customHeight="1" x14ac:dyDescent="0.2">
      <c r="C316" s="32"/>
      <c r="D316" s="2"/>
      <c r="E316" s="2"/>
      <c r="F316" s="2"/>
      <c r="G316" s="3"/>
    </row>
    <row r="317" spans="3:7" ht="11.45" customHeight="1" x14ac:dyDescent="0.2">
      <c r="C317" s="32"/>
      <c r="D317" s="12"/>
      <c r="E317" s="8"/>
      <c r="F317" s="9"/>
      <c r="G317" s="8"/>
    </row>
    <row r="318" spans="3:7" ht="11.45" customHeight="1" x14ac:dyDescent="0.2">
      <c r="C318" s="32"/>
      <c r="D318" s="12"/>
      <c r="E318" s="8"/>
      <c r="F318" s="9"/>
      <c r="G318" s="8"/>
    </row>
    <row r="319" spans="3:7" ht="11.45" customHeight="1" x14ac:dyDescent="0.2">
      <c r="C319" s="32"/>
      <c r="D319" s="12"/>
      <c r="E319" s="8"/>
      <c r="F319" s="9"/>
      <c r="G319" s="8"/>
    </row>
    <row r="320" spans="3:7" ht="11.45" customHeight="1" x14ac:dyDescent="0.2">
      <c r="C320" s="32"/>
      <c r="D320" s="12"/>
      <c r="E320" s="8"/>
      <c r="F320" s="9"/>
      <c r="G320" s="8"/>
    </row>
    <row r="321" spans="3:7" ht="11.45" customHeight="1" x14ac:dyDescent="0.2">
      <c r="C321" s="32"/>
      <c r="D321" s="12"/>
      <c r="E321" s="8"/>
      <c r="F321" s="9"/>
      <c r="G321" s="8"/>
    </row>
    <row r="322" spans="3:7" ht="11.45" customHeight="1" x14ac:dyDescent="0.2">
      <c r="C322" s="32"/>
      <c r="D322" s="12"/>
      <c r="E322" s="8"/>
      <c r="F322" s="9"/>
      <c r="G322" s="8"/>
    </row>
    <row r="323" spans="3:7" ht="11.45" customHeight="1" x14ac:dyDescent="0.2">
      <c r="C323" s="32"/>
      <c r="D323" s="12"/>
      <c r="E323" s="8"/>
      <c r="F323" s="9"/>
      <c r="G323" s="8"/>
    </row>
    <row r="324" spans="3:7" ht="11.45" customHeight="1" x14ac:dyDescent="0.2">
      <c r="C324" s="32"/>
      <c r="D324" s="12"/>
      <c r="E324" s="8"/>
      <c r="F324" s="9"/>
      <c r="G324" s="8"/>
    </row>
    <row r="325" spans="3:7" ht="11.45" customHeight="1" x14ac:dyDescent="0.2">
      <c r="C325" s="32"/>
      <c r="D325" s="12"/>
      <c r="E325" s="8"/>
      <c r="F325" s="9"/>
      <c r="G325" s="8"/>
    </row>
    <row r="326" spans="3:7" ht="11.45" customHeight="1" x14ac:dyDescent="0.2">
      <c r="C326" s="32"/>
      <c r="D326" s="12"/>
      <c r="E326" s="8"/>
      <c r="F326" s="9"/>
      <c r="G326" s="8"/>
    </row>
    <row r="327" spans="3:7" ht="11.45" customHeight="1" x14ac:dyDescent="0.2">
      <c r="C327" s="32"/>
    </row>
    <row r="328" spans="3:7" ht="11.45" customHeight="1" x14ac:dyDescent="0.2">
      <c r="C328" s="32"/>
      <c r="D328" s="42"/>
      <c r="E328" s="42"/>
      <c r="F328" s="42"/>
      <c r="G328" s="42"/>
    </row>
    <row r="329" spans="3:7" ht="11.45" customHeight="1" x14ac:dyDescent="0.2">
      <c r="C329" s="32"/>
      <c r="D329" s="42"/>
      <c r="E329" s="42"/>
      <c r="F329" s="42"/>
      <c r="G329" s="42"/>
    </row>
    <row r="330" spans="3:7" ht="11.45" customHeight="1" x14ac:dyDescent="0.2">
      <c r="C330" s="32"/>
      <c r="D330" s="42"/>
      <c r="E330" s="42"/>
      <c r="F330" s="42"/>
      <c r="G330" s="42"/>
    </row>
    <row r="331" spans="3:7" ht="11.45" customHeight="1" x14ac:dyDescent="0.2">
      <c r="C331" s="32"/>
      <c r="D331" s="42"/>
      <c r="E331" s="42"/>
      <c r="F331" s="42"/>
      <c r="G331" s="42"/>
    </row>
    <row r="332" spans="3:7" ht="11.45" customHeight="1" x14ac:dyDescent="0.2">
      <c r="C332" s="32"/>
      <c r="D332" s="42"/>
      <c r="E332" s="42"/>
      <c r="F332" s="42"/>
      <c r="G332" s="42"/>
    </row>
    <row r="333" spans="3:7" ht="11.45" customHeight="1" x14ac:dyDescent="0.2">
      <c r="C333" s="32"/>
      <c r="D333" s="42"/>
      <c r="E333" s="42"/>
      <c r="F333" s="42"/>
      <c r="G333" s="42"/>
    </row>
    <row r="334" spans="3:7" ht="11.45" customHeight="1" x14ac:dyDescent="0.2">
      <c r="C334" s="32"/>
      <c r="D334" s="42"/>
      <c r="E334" s="42"/>
      <c r="F334" s="42"/>
      <c r="G334" s="42"/>
    </row>
    <row r="335" spans="3:7" ht="11.45" customHeight="1" x14ac:dyDescent="0.2">
      <c r="C335" s="32"/>
      <c r="D335" s="42"/>
      <c r="E335" s="42"/>
      <c r="F335" s="42"/>
      <c r="G335" s="42"/>
    </row>
    <row r="336" spans="3:7" ht="11.45" customHeight="1" x14ac:dyDescent="0.2">
      <c r="C336" s="32"/>
      <c r="D336" s="42"/>
      <c r="E336" s="42"/>
      <c r="F336" s="42"/>
      <c r="G336" s="42"/>
    </row>
    <row r="337" spans="3:7" ht="11.45" customHeight="1" x14ac:dyDescent="0.2">
      <c r="C337" s="32"/>
      <c r="D337" s="42"/>
      <c r="E337" s="42"/>
      <c r="F337" s="42"/>
      <c r="G337" s="42"/>
    </row>
    <row r="338" spans="3:7" ht="11.45" customHeight="1" x14ac:dyDescent="0.2">
      <c r="C338" s="32"/>
      <c r="D338" s="42"/>
      <c r="E338" s="42"/>
      <c r="F338" s="42"/>
      <c r="G338" s="42"/>
    </row>
    <row r="339" spans="3:7" ht="11.45" customHeight="1" x14ac:dyDescent="0.2">
      <c r="C339" s="32"/>
      <c r="D339" s="42"/>
      <c r="E339" s="42"/>
      <c r="F339" s="42"/>
      <c r="G339" s="42"/>
    </row>
    <row r="340" spans="3:7" ht="11.45" customHeight="1" x14ac:dyDescent="0.2">
      <c r="C340" s="32"/>
      <c r="D340" s="42"/>
      <c r="E340" s="42"/>
      <c r="F340" s="42"/>
      <c r="G340" s="42"/>
    </row>
    <row r="341" spans="3:7" ht="11.45" customHeight="1" x14ac:dyDescent="0.2">
      <c r="C341" s="32"/>
      <c r="D341" s="42"/>
      <c r="E341" s="42"/>
      <c r="F341" s="42"/>
      <c r="G341" s="42"/>
    </row>
    <row r="342" spans="3:7" ht="11.45" customHeight="1" x14ac:dyDescent="0.2">
      <c r="C342" s="32"/>
      <c r="D342" s="42"/>
      <c r="E342" s="42"/>
      <c r="F342" s="42"/>
      <c r="G342" s="42"/>
    </row>
    <row r="343" spans="3:7" ht="11.45" customHeight="1" x14ac:dyDescent="0.2">
      <c r="C343" s="32"/>
      <c r="D343" s="42"/>
      <c r="E343" s="42"/>
      <c r="F343" s="42"/>
      <c r="G343" s="42"/>
    </row>
    <row r="344" spans="3:7" ht="11.45" customHeight="1" x14ac:dyDescent="0.2">
      <c r="C344" s="32"/>
      <c r="D344" s="42"/>
      <c r="E344" s="42"/>
      <c r="F344" s="42"/>
      <c r="G344" s="42"/>
    </row>
    <row r="345" spans="3:7" ht="11.45" customHeight="1" x14ac:dyDescent="0.2">
      <c r="C345" s="32"/>
      <c r="D345" s="42"/>
      <c r="E345" s="42"/>
      <c r="F345" s="42"/>
      <c r="G345" s="42"/>
    </row>
    <row r="346" spans="3:7" ht="11.45" customHeight="1" x14ac:dyDescent="0.2">
      <c r="C346" s="32"/>
      <c r="D346" s="42"/>
      <c r="E346" s="42"/>
      <c r="F346" s="42"/>
      <c r="G346" s="42"/>
    </row>
    <row r="347" spans="3:7" ht="11.45" customHeight="1" x14ac:dyDescent="0.2">
      <c r="C347" s="32"/>
      <c r="D347" s="42"/>
      <c r="E347" s="42"/>
      <c r="F347" s="42"/>
      <c r="G347" s="42"/>
    </row>
    <row r="348" spans="3:7" ht="11.45" customHeight="1" x14ac:dyDescent="0.2">
      <c r="C348" s="32"/>
      <c r="D348" s="42"/>
      <c r="E348" s="42"/>
      <c r="F348" s="42"/>
      <c r="G348" s="42"/>
    </row>
    <row r="349" spans="3:7" ht="11.45" customHeight="1" x14ac:dyDescent="0.2">
      <c r="C349" s="32"/>
      <c r="D349" s="42"/>
      <c r="E349" s="42"/>
      <c r="F349" s="42"/>
      <c r="G349" s="42"/>
    </row>
    <row r="350" spans="3:7" ht="11.45" customHeight="1" x14ac:dyDescent="0.2">
      <c r="C350" s="32"/>
      <c r="D350" s="42"/>
      <c r="E350" s="42"/>
      <c r="F350" s="42"/>
      <c r="G350" s="42"/>
    </row>
    <row r="351" spans="3:7" ht="11.45" customHeight="1" x14ac:dyDescent="0.2">
      <c r="C351" s="32"/>
    </row>
    <row r="352" spans="3:7" ht="11.45" customHeight="1" x14ac:dyDescent="0.2">
      <c r="C352" s="32"/>
    </row>
    <row r="353" spans="3:3" ht="11.45" customHeight="1" x14ac:dyDescent="0.2">
      <c r="C353" s="32"/>
    </row>
    <row r="354" spans="3:3" ht="11.45" customHeight="1" x14ac:dyDescent="0.2">
      <c r="C354" s="32"/>
    </row>
    <row r="355" spans="3:3" ht="11.45" customHeight="1" x14ac:dyDescent="0.2">
      <c r="C355" s="32"/>
    </row>
    <row r="356" spans="3:3" ht="11.45" customHeight="1" x14ac:dyDescent="0.2">
      <c r="C356" s="32"/>
    </row>
    <row r="357" spans="3:3" ht="11.45" customHeight="1" x14ac:dyDescent="0.2">
      <c r="C357" s="32"/>
    </row>
    <row r="358" spans="3:3" ht="11.45" customHeight="1" x14ac:dyDescent="0.2">
      <c r="C358" s="32"/>
    </row>
    <row r="359" spans="3:3" ht="11.45" customHeight="1" x14ac:dyDescent="0.2">
      <c r="C359" s="32"/>
    </row>
    <row r="360" spans="3:3" ht="11.45" customHeight="1" x14ac:dyDescent="0.2">
      <c r="C360" s="32"/>
    </row>
    <row r="361" spans="3:3" ht="11.45" customHeight="1" x14ac:dyDescent="0.2">
      <c r="C361" s="32"/>
    </row>
    <row r="362" spans="3:3" ht="11.45" customHeight="1" x14ac:dyDescent="0.2">
      <c r="C362" s="32"/>
    </row>
    <row r="363" spans="3:3" ht="11.45" customHeight="1" x14ac:dyDescent="0.2">
      <c r="C363" s="32"/>
    </row>
    <row r="364" spans="3:3" ht="11.45" customHeight="1" x14ac:dyDescent="0.2">
      <c r="C364" s="32"/>
    </row>
    <row r="365" spans="3:3" ht="11.45" customHeight="1" x14ac:dyDescent="0.2">
      <c r="C365" s="32"/>
    </row>
    <row r="366" spans="3:3" ht="11.45" customHeight="1" x14ac:dyDescent="0.2">
      <c r="C366" s="32"/>
    </row>
    <row r="367" spans="3:3" ht="11.45" customHeight="1" x14ac:dyDescent="0.2">
      <c r="C367" s="32"/>
    </row>
    <row r="368" spans="3:3" ht="11.45" customHeight="1" x14ac:dyDescent="0.2">
      <c r="C368" s="32"/>
    </row>
    <row r="369" spans="3:3" ht="11.45" customHeight="1" x14ac:dyDescent="0.2">
      <c r="C369" s="32"/>
    </row>
    <row r="370" spans="3:3" ht="11.45" customHeight="1" x14ac:dyDescent="0.2">
      <c r="C370" s="32"/>
    </row>
    <row r="371" spans="3:3" ht="11.45" customHeight="1" x14ac:dyDescent="0.2">
      <c r="C371" s="32"/>
    </row>
    <row r="372" spans="3:3" ht="11.45" customHeight="1" x14ac:dyDescent="0.2">
      <c r="C372" s="32"/>
    </row>
    <row r="373" spans="3:3" ht="11.45" customHeight="1" x14ac:dyDescent="0.2">
      <c r="C373" s="32"/>
    </row>
    <row r="374" spans="3:3" ht="11.45" customHeight="1" x14ac:dyDescent="0.2">
      <c r="C374" s="32"/>
    </row>
    <row r="375" spans="3:3" ht="11.45" customHeight="1" x14ac:dyDescent="0.2">
      <c r="C375" s="32"/>
    </row>
    <row r="376" spans="3:3" ht="11.45" customHeight="1" x14ac:dyDescent="0.2">
      <c r="C376" s="32"/>
    </row>
    <row r="377" spans="3:3" ht="11.45" customHeight="1" x14ac:dyDescent="0.2">
      <c r="C377" s="32"/>
    </row>
    <row r="378" spans="3:3" ht="11.45" customHeight="1" x14ac:dyDescent="0.2">
      <c r="C378" s="32"/>
    </row>
    <row r="379" spans="3:3" ht="11.45" customHeight="1" x14ac:dyDescent="0.2">
      <c r="C379" s="32"/>
    </row>
    <row r="380" spans="3:3" ht="11.45" customHeight="1" x14ac:dyDescent="0.2">
      <c r="C380" s="32"/>
    </row>
    <row r="381" spans="3:3" ht="11.45" customHeight="1" x14ac:dyDescent="0.2">
      <c r="C381" s="32"/>
    </row>
    <row r="382" spans="3:3" ht="11.45" customHeight="1" x14ac:dyDescent="0.2">
      <c r="C382" s="32"/>
    </row>
    <row r="383" spans="3:3" ht="11.45" customHeight="1" x14ac:dyDescent="0.2">
      <c r="C383" s="32"/>
    </row>
    <row r="384" spans="3:3" ht="11.45" customHeight="1" x14ac:dyDescent="0.2">
      <c r="C384" s="32"/>
    </row>
    <row r="385" spans="3:3" ht="11.45" customHeight="1" x14ac:dyDescent="0.2">
      <c r="C385" s="32"/>
    </row>
    <row r="386" spans="3:3" ht="11.45" customHeight="1" x14ac:dyDescent="0.2">
      <c r="C386" s="32"/>
    </row>
    <row r="387" spans="3:3" ht="11.45" customHeight="1" x14ac:dyDescent="0.2">
      <c r="C387" s="32"/>
    </row>
    <row r="388" spans="3:3" ht="11.45" customHeight="1" x14ac:dyDescent="0.2">
      <c r="C388" s="32"/>
    </row>
    <row r="389" spans="3:3" ht="11.45" customHeight="1" x14ac:dyDescent="0.2">
      <c r="C389" s="32"/>
    </row>
    <row r="390" spans="3:3" ht="11.45" customHeight="1" x14ac:dyDescent="0.2">
      <c r="C390" s="32"/>
    </row>
    <row r="391" spans="3:3" ht="11.45" customHeight="1" x14ac:dyDescent="0.2">
      <c r="C391" s="32"/>
    </row>
    <row r="392" spans="3:3" ht="11.45" customHeight="1" x14ac:dyDescent="0.2">
      <c r="C392" s="32"/>
    </row>
    <row r="393" spans="3:3" ht="11.45" customHeight="1" x14ac:dyDescent="0.2">
      <c r="C393" s="32"/>
    </row>
    <row r="394" spans="3:3" ht="11.45" customHeight="1" x14ac:dyDescent="0.2">
      <c r="C394" s="32"/>
    </row>
    <row r="395" spans="3:3" ht="11.45" customHeight="1" x14ac:dyDescent="0.2">
      <c r="C395" s="32"/>
    </row>
    <row r="396" spans="3:3" ht="11.45" customHeight="1" x14ac:dyDescent="0.2">
      <c r="C396" s="32"/>
    </row>
    <row r="397" spans="3:3" ht="11.45" customHeight="1" x14ac:dyDescent="0.2">
      <c r="C397" s="32"/>
    </row>
    <row r="398" spans="3:3" ht="11.45" customHeight="1" x14ac:dyDescent="0.2">
      <c r="C398" s="32"/>
    </row>
    <row r="399" spans="3:3" ht="11.45" customHeight="1" x14ac:dyDescent="0.2">
      <c r="C399" s="32"/>
    </row>
  </sheetData>
  <mergeCells count="16">
    <mergeCell ref="J1:S1"/>
    <mergeCell ref="A2:A5"/>
    <mergeCell ref="B2:B5"/>
    <mergeCell ref="C2:C3"/>
    <mergeCell ref="D2:E3"/>
    <mergeCell ref="F2:I2"/>
    <mergeCell ref="J2:J5"/>
    <mergeCell ref="K2:K5"/>
    <mergeCell ref="L2:S2"/>
    <mergeCell ref="F3:G3"/>
    <mergeCell ref="H3:I3"/>
    <mergeCell ref="L3:M3"/>
    <mergeCell ref="N3:O3"/>
    <mergeCell ref="P3:Q3"/>
    <mergeCell ref="R3:S3"/>
    <mergeCell ref="A1:I1"/>
  </mergeCells>
  <phoneticPr fontId="2" type="noConversion"/>
  <printOptions horizontalCentered="1"/>
  <pageMargins left="0.5" right="0.5" top="0.5" bottom="0.5" header="0.5" footer="0.5"/>
  <pageSetup scale="90" firstPageNumber="50" fitToHeight="0" pageOrder="overThenDown" orientation="portrait" useFirstPageNumber="1" r:id="rId1"/>
  <headerFooter scaleWithDoc="0" alignWithMargins="0"/>
  <rowBreaks count="4" manualBreakCount="4">
    <brk id="60" max="18" man="1"/>
    <brk id="115" max="18" man="1"/>
    <brk id="171" max="18" man="1"/>
    <brk id="226" max="18" man="1"/>
  </rowBreaks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2A6F1F"/>
  </sheetPr>
  <dimension ref="A1:T415"/>
  <sheetViews>
    <sheetView tabSelected="1" zoomScale="110" zoomScaleNormal="110" zoomScaleSheetLayoutView="110" workbookViewId="0">
      <pane ySplit="4" topLeftCell="A29" activePane="bottomLeft" state="frozen"/>
      <selection pane="bottomLeft" activeCell="I66" sqref="I66"/>
    </sheetView>
  </sheetViews>
  <sheetFormatPr defaultColWidth="9.140625" defaultRowHeight="11.45" customHeight="1" x14ac:dyDescent="0.2"/>
  <cols>
    <col min="1" max="1" width="12" style="31" customWidth="1"/>
    <col min="2" max="2" width="6.7109375" style="64" customWidth="1"/>
    <col min="3" max="4" width="10.140625" style="31" customWidth="1"/>
    <col min="5" max="5" width="7.7109375" style="31" customWidth="1"/>
    <col min="6" max="8" width="10.140625" style="31" customWidth="1"/>
    <col min="9" max="9" width="10.140625" style="283" customWidth="1"/>
    <col min="10" max="10" width="10.140625" style="31" customWidth="1"/>
    <col min="11" max="11" width="11.85546875" style="31" customWidth="1"/>
    <col min="12" max="12" width="9.85546875" style="31" customWidth="1"/>
    <col min="13" max="14" width="10" style="31" customWidth="1"/>
    <col min="15" max="18" width="9.140625" style="31" customWidth="1"/>
    <col min="19" max="16384" width="9.140625" style="31"/>
  </cols>
  <sheetData>
    <row r="1" spans="1:20" ht="16.5" customHeight="1" x14ac:dyDescent="0.2">
      <c r="A1" s="552" t="s">
        <v>147</v>
      </c>
      <c r="B1" s="552"/>
      <c r="C1" s="552"/>
      <c r="D1" s="552"/>
      <c r="E1" s="552"/>
      <c r="F1" s="552"/>
      <c r="G1" s="552"/>
      <c r="H1" s="552"/>
      <c r="I1" s="552"/>
      <c r="J1" s="552"/>
      <c r="L1" s="42"/>
    </row>
    <row r="2" spans="1:20" s="59" customFormat="1" ht="11.25" customHeight="1" x14ac:dyDescent="0.2">
      <c r="A2" s="587" t="s">
        <v>0</v>
      </c>
      <c r="B2" s="563" t="s">
        <v>1</v>
      </c>
      <c r="C2" s="563" t="s">
        <v>110</v>
      </c>
      <c r="D2" s="563" t="s">
        <v>202</v>
      </c>
      <c r="E2" s="563" t="s">
        <v>103</v>
      </c>
      <c r="F2" s="589" t="s">
        <v>104</v>
      </c>
      <c r="G2" s="589"/>
      <c r="H2" s="589"/>
      <c r="I2" s="590" t="s">
        <v>125</v>
      </c>
      <c r="J2" s="563" t="s">
        <v>107</v>
      </c>
    </row>
    <row r="3" spans="1:20" s="59" customFormat="1" ht="22.5" customHeight="1" x14ac:dyDescent="0.2">
      <c r="A3" s="587"/>
      <c r="B3" s="563"/>
      <c r="C3" s="563"/>
      <c r="D3" s="563"/>
      <c r="E3" s="563"/>
      <c r="F3" s="120" t="s">
        <v>201</v>
      </c>
      <c r="G3" s="120" t="s">
        <v>127</v>
      </c>
      <c r="H3" s="120" t="s">
        <v>118</v>
      </c>
      <c r="I3" s="590"/>
      <c r="J3" s="563"/>
      <c r="K3" s="563" t="s">
        <v>110</v>
      </c>
      <c r="L3" s="563" t="s">
        <v>136</v>
      </c>
      <c r="M3" s="563" t="s">
        <v>103</v>
      </c>
      <c r="N3" s="402" t="s">
        <v>126</v>
      </c>
      <c r="O3" s="402" t="s">
        <v>127</v>
      </c>
      <c r="P3" s="402" t="s">
        <v>118</v>
      </c>
      <c r="Q3" s="590" t="s">
        <v>125</v>
      </c>
      <c r="R3" s="563" t="s">
        <v>107</v>
      </c>
    </row>
    <row r="4" spans="1:20" ht="11.25" customHeight="1" x14ac:dyDescent="0.2">
      <c r="A4" s="588"/>
      <c r="B4" s="564"/>
      <c r="C4" s="386" t="s">
        <v>2</v>
      </c>
      <c r="D4" s="386" t="s">
        <v>2</v>
      </c>
      <c r="E4" s="386" t="s">
        <v>128</v>
      </c>
      <c r="F4" s="591" t="s">
        <v>129</v>
      </c>
      <c r="G4" s="591"/>
      <c r="H4" s="591"/>
      <c r="I4" s="393" t="s">
        <v>130</v>
      </c>
      <c r="J4" s="394">
        <v>1000</v>
      </c>
      <c r="K4" s="563"/>
      <c r="L4" s="563"/>
      <c r="M4" s="563"/>
      <c r="Q4" s="590"/>
      <c r="R4" s="563"/>
    </row>
    <row r="5" spans="1:20" ht="3.75" customHeight="1" x14ac:dyDescent="0.25">
      <c r="A5" s="365"/>
      <c r="B5" s="51"/>
      <c r="C5" s="51"/>
      <c r="D5" s="51"/>
      <c r="E5" s="51"/>
      <c r="F5" s="51"/>
      <c r="G5" s="51"/>
      <c r="H5" s="51"/>
      <c r="I5" s="281"/>
      <c r="J5" s="51"/>
    </row>
    <row r="6" spans="1:20" ht="12" customHeight="1" x14ac:dyDescent="0.2">
      <c r="A6" s="366" t="s">
        <v>66</v>
      </c>
      <c r="B6" s="170">
        <v>2011</v>
      </c>
      <c r="C6" s="172">
        <v>800000</v>
      </c>
      <c r="D6" s="172">
        <v>75000</v>
      </c>
      <c r="E6" s="172">
        <v>2540</v>
      </c>
      <c r="F6" s="173" t="s">
        <v>77</v>
      </c>
      <c r="G6" s="173" t="s">
        <v>77</v>
      </c>
      <c r="H6" s="174">
        <v>2030000</v>
      </c>
      <c r="I6" s="178">
        <v>1.99</v>
      </c>
      <c r="J6" s="172">
        <v>4007860</v>
      </c>
      <c r="K6" s="193"/>
    </row>
    <row r="7" spans="1:20" ht="12" customHeight="1" x14ac:dyDescent="0.2">
      <c r="A7" s="367" t="s">
        <v>44</v>
      </c>
      <c r="B7" s="170">
        <v>2012</v>
      </c>
      <c r="C7" s="172">
        <v>820000</v>
      </c>
      <c r="D7" s="172">
        <v>110000</v>
      </c>
      <c r="E7" s="172">
        <v>2310</v>
      </c>
      <c r="F7" s="173" t="s">
        <v>77</v>
      </c>
      <c r="G7" s="173" t="s">
        <v>77</v>
      </c>
      <c r="H7" s="174">
        <v>1890000</v>
      </c>
      <c r="I7" s="178">
        <v>2.58</v>
      </c>
      <c r="J7" s="172">
        <v>4816860</v>
      </c>
      <c r="K7" s="193"/>
    </row>
    <row r="8" spans="1:20" ht="12" customHeight="1" x14ac:dyDescent="0.2">
      <c r="A8" s="63"/>
      <c r="B8" s="171">
        <v>2013</v>
      </c>
      <c r="C8" s="172">
        <v>880000</v>
      </c>
      <c r="D8" s="172">
        <v>120000</v>
      </c>
      <c r="E8" s="172">
        <v>2280</v>
      </c>
      <c r="F8" s="173" t="s">
        <v>77</v>
      </c>
      <c r="G8" s="173" t="s">
        <v>77</v>
      </c>
      <c r="H8" s="174">
        <v>2010000</v>
      </c>
      <c r="I8" s="178">
        <v>3.21</v>
      </c>
      <c r="J8" s="172">
        <v>6384690</v>
      </c>
      <c r="K8" s="193"/>
    </row>
    <row r="9" spans="1:20" ht="12" customHeight="1" x14ac:dyDescent="0.25">
      <c r="A9" s="365"/>
      <c r="B9" s="171">
        <v>2014</v>
      </c>
      <c r="C9" s="172">
        <v>930000</v>
      </c>
      <c r="D9" s="172">
        <v>170000</v>
      </c>
      <c r="E9" s="172">
        <v>2010</v>
      </c>
      <c r="F9" s="173" t="s">
        <v>77</v>
      </c>
      <c r="G9" s="173" t="s">
        <v>77</v>
      </c>
      <c r="H9" s="174">
        <v>1870000</v>
      </c>
      <c r="I9" s="216">
        <v>4</v>
      </c>
      <c r="J9" s="174">
        <v>7388000</v>
      </c>
      <c r="K9" s="193"/>
    </row>
    <row r="10" spans="1:20" ht="12" customHeight="1" x14ac:dyDescent="0.25">
      <c r="A10" s="365"/>
      <c r="B10" s="214">
        <v>2015</v>
      </c>
      <c r="C10" s="174">
        <v>950000</v>
      </c>
      <c r="D10" s="174">
        <v>240000</v>
      </c>
      <c r="E10" s="174">
        <v>2000</v>
      </c>
      <c r="F10" s="175" t="s">
        <v>77</v>
      </c>
      <c r="G10" s="175" t="s">
        <v>77</v>
      </c>
      <c r="H10" s="174">
        <v>1900000</v>
      </c>
      <c r="I10" s="216">
        <v>3.13</v>
      </c>
      <c r="J10" s="174">
        <v>5868750</v>
      </c>
      <c r="K10" s="193"/>
    </row>
    <row r="11" spans="1:20" ht="12" customHeight="1" x14ac:dyDescent="0.25">
      <c r="A11" s="365"/>
      <c r="B11" s="214">
        <v>2016</v>
      </c>
      <c r="C11" s="174">
        <v>970000</v>
      </c>
      <c r="D11" s="174">
        <v>300000</v>
      </c>
      <c r="E11" s="174">
        <v>2210</v>
      </c>
      <c r="F11" s="175" t="s">
        <v>77</v>
      </c>
      <c r="G11" s="175" t="s">
        <v>77</v>
      </c>
      <c r="H11" s="174">
        <v>2140000</v>
      </c>
      <c r="I11" s="216">
        <v>2.39</v>
      </c>
      <c r="J11" s="174">
        <v>5052460</v>
      </c>
      <c r="K11" s="193"/>
    </row>
    <row r="12" spans="1:20" ht="12" customHeight="1" x14ac:dyDescent="0.25">
      <c r="A12" s="365"/>
      <c r="B12" s="214">
        <v>2017</v>
      </c>
      <c r="C12" s="174">
        <v>1030000</v>
      </c>
      <c r="D12" s="174">
        <v>330000</v>
      </c>
      <c r="E12" s="174">
        <v>2200</v>
      </c>
      <c r="F12" s="175" t="s">
        <v>77</v>
      </c>
      <c r="G12" s="175" t="s">
        <v>77</v>
      </c>
      <c r="H12" s="174">
        <v>2270000</v>
      </c>
      <c r="I12" s="216">
        <v>2.5299999999999998</v>
      </c>
      <c r="J12" s="174">
        <v>5603950</v>
      </c>
      <c r="K12" s="193"/>
    </row>
    <row r="13" spans="1:20" ht="12" customHeight="1" x14ac:dyDescent="0.25">
      <c r="A13" s="365"/>
      <c r="B13" s="171">
        <v>2018</v>
      </c>
      <c r="C13" s="174">
        <v>1090000</v>
      </c>
      <c r="D13" s="174">
        <v>300000</v>
      </c>
      <c r="E13" s="174">
        <v>2090</v>
      </c>
      <c r="F13" s="175" t="s">
        <v>77</v>
      </c>
      <c r="G13" s="175" t="s">
        <v>77</v>
      </c>
      <c r="H13" s="174">
        <v>2280000</v>
      </c>
      <c r="I13" s="216">
        <v>2.5</v>
      </c>
      <c r="J13" s="174">
        <v>5602500</v>
      </c>
      <c r="K13" s="193"/>
    </row>
    <row r="14" spans="1:20" ht="12" customHeight="1" x14ac:dyDescent="0.25">
      <c r="A14" s="365"/>
      <c r="B14" s="171">
        <v>2019</v>
      </c>
      <c r="C14" s="174">
        <v>1180000</v>
      </c>
      <c r="D14" s="174">
        <v>340000</v>
      </c>
      <c r="E14" s="174">
        <v>2170</v>
      </c>
      <c r="F14" s="175" t="s">
        <v>77</v>
      </c>
      <c r="G14" s="175" t="s">
        <v>77</v>
      </c>
      <c r="H14" s="174">
        <v>2560000</v>
      </c>
      <c r="I14" s="216">
        <v>2.4500000000000002</v>
      </c>
      <c r="J14" s="174">
        <v>6169100</v>
      </c>
      <c r="K14" s="193"/>
      <c r="L14" s="303"/>
    </row>
    <row r="15" spans="1:20" ht="12" customHeight="1" x14ac:dyDescent="0.25">
      <c r="A15" s="365"/>
      <c r="B15" s="171">
        <v>2020</v>
      </c>
      <c r="C15" s="174">
        <v>1250000</v>
      </c>
      <c r="D15" s="174">
        <v>350000</v>
      </c>
      <c r="E15" s="174">
        <v>2490</v>
      </c>
      <c r="F15" s="175" t="s">
        <v>77</v>
      </c>
      <c r="G15" s="175" t="s">
        <v>77</v>
      </c>
      <c r="H15" s="174">
        <v>3115000</v>
      </c>
      <c r="I15" s="216">
        <v>1.83</v>
      </c>
      <c r="J15" s="174">
        <v>5619930</v>
      </c>
      <c r="K15" s="479">
        <f>(C15-C14)/C14</f>
        <v>5.9322033898305086E-2</v>
      </c>
      <c r="L15" s="263">
        <f t="shared" ref="L15:R15" si="0">(D15-D14)/D14</f>
        <v>2.9411764705882353E-2</v>
      </c>
      <c r="M15" s="263">
        <f t="shared" si="0"/>
        <v>0.14746543778801843</v>
      </c>
      <c r="N15" s="263" t="e">
        <f t="shared" si="0"/>
        <v>#VALUE!</v>
      </c>
      <c r="O15" s="263" t="e">
        <f t="shared" si="0"/>
        <v>#VALUE!</v>
      </c>
      <c r="P15" s="263">
        <f>(H15-H14)/H14</f>
        <v>0.216796875</v>
      </c>
      <c r="Q15" s="263">
        <f t="shared" si="0"/>
        <v>-0.25306122448979596</v>
      </c>
      <c r="R15" s="263">
        <f t="shared" si="0"/>
        <v>-8.9019467993710591E-2</v>
      </c>
      <c r="S15" s="69">
        <f>C15</f>
        <v>1250000</v>
      </c>
      <c r="T15" s="69">
        <f>H15</f>
        <v>3115000</v>
      </c>
    </row>
    <row r="16" spans="1:20" ht="12" customHeight="1" x14ac:dyDescent="0.2">
      <c r="A16" s="63"/>
      <c r="B16" s="170"/>
      <c r="C16" s="172"/>
      <c r="D16" s="173"/>
      <c r="E16" s="172"/>
      <c r="F16" s="173"/>
      <c r="G16" s="173"/>
      <c r="H16" s="174"/>
      <c r="I16" s="178"/>
      <c r="J16" s="172"/>
    </row>
    <row r="17" spans="1:13" ht="12" customHeight="1" x14ac:dyDescent="0.2">
      <c r="A17" s="366" t="s">
        <v>172</v>
      </c>
      <c r="B17" s="170">
        <v>2011</v>
      </c>
      <c r="C17" s="172">
        <v>3600</v>
      </c>
      <c r="D17" s="173" t="s">
        <v>77</v>
      </c>
      <c r="E17" s="172">
        <v>1030</v>
      </c>
      <c r="F17" s="173" t="s">
        <v>77</v>
      </c>
      <c r="G17" s="173" t="s">
        <v>77</v>
      </c>
      <c r="H17" s="174">
        <v>3700</v>
      </c>
      <c r="I17" s="178">
        <v>2.67</v>
      </c>
      <c r="J17" s="172">
        <v>9879</v>
      </c>
    </row>
    <row r="18" spans="1:13" ht="12" customHeight="1" x14ac:dyDescent="0.2">
      <c r="A18" s="367" t="s">
        <v>45</v>
      </c>
      <c r="B18" s="170">
        <v>2012</v>
      </c>
      <c r="C18" s="172">
        <v>3600</v>
      </c>
      <c r="D18" s="173" t="s">
        <v>77</v>
      </c>
      <c r="E18" s="172">
        <v>1190</v>
      </c>
      <c r="F18" s="173" t="s">
        <v>77</v>
      </c>
      <c r="G18" s="173" t="s">
        <v>77</v>
      </c>
      <c r="H18" s="174">
        <v>4300</v>
      </c>
      <c r="I18" s="178">
        <v>1.58</v>
      </c>
      <c r="J18" s="172">
        <v>6794</v>
      </c>
    </row>
    <row r="19" spans="1:13" ht="12" customHeight="1" x14ac:dyDescent="0.25">
      <c r="A19" s="365"/>
      <c r="B19" s="171">
        <v>2013</v>
      </c>
      <c r="C19" s="172">
        <v>2850</v>
      </c>
      <c r="D19" s="175" t="s">
        <v>77</v>
      </c>
      <c r="E19" s="172">
        <v>1750</v>
      </c>
      <c r="F19" s="173" t="s">
        <v>77</v>
      </c>
      <c r="G19" s="173" t="s">
        <v>77</v>
      </c>
      <c r="H19" s="174">
        <v>5000</v>
      </c>
      <c r="I19" s="178">
        <v>2.06</v>
      </c>
      <c r="J19" s="174">
        <v>10300</v>
      </c>
    </row>
    <row r="20" spans="1:13" ht="12" customHeight="1" x14ac:dyDescent="0.25">
      <c r="A20" s="365"/>
      <c r="B20" s="214">
        <v>2014</v>
      </c>
      <c r="C20" s="172">
        <v>2950</v>
      </c>
      <c r="D20" s="175" t="s">
        <v>77</v>
      </c>
      <c r="E20" s="172">
        <v>1695</v>
      </c>
      <c r="F20" s="173" t="s">
        <v>77</v>
      </c>
      <c r="G20" s="173" t="s">
        <v>77</v>
      </c>
      <c r="H20" s="174">
        <v>5000</v>
      </c>
      <c r="I20" s="178">
        <v>2.14</v>
      </c>
      <c r="J20" s="174">
        <v>10700</v>
      </c>
    </row>
    <row r="21" spans="1:13" ht="12" customHeight="1" x14ac:dyDescent="0.25">
      <c r="A21" s="365"/>
      <c r="B21" s="214">
        <v>2015</v>
      </c>
      <c r="C21" s="174">
        <v>2830</v>
      </c>
      <c r="D21" s="175" t="s">
        <v>77</v>
      </c>
      <c r="E21" s="174">
        <v>1400</v>
      </c>
      <c r="F21" s="175" t="s">
        <v>77</v>
      </c>
      <c r="G21" s="175" t="s">
        <v>77</v>
      </c>
      <c r="H21" s="174">
        <v>3960</v>
      </c>
      <c r="I21" s="216">
        <v>2.1800000000000002</v>
      </c>
      <c r="J21" s="174">
        <v>8633</v>
      </c>
    </row>
    <row r="22" spans="1:13" ht="12" customHeight="1" x14ac:dyDescent="0.25">
      <c r="A22" s="365"/>
      <c r="B22" s="214">
        <v>2016</v>
      </c>
      <c r="C22" s="174">
        <v>3200</v>
      </c>
      <c r="D22" s="175" t="s">
        <v>77</v>
      </c>
      <c r="E22" s="174">
        <v>1800</v>
      </c>
      <c r="F22" s="175" t="s">
        <v>77</v>
      </c>
      <c r="G22" s="175" t="s">
        <v>77</v>
      </c>
      <c r="H22" s="174">
        <v>5770</v>
      </c>
      <c r="I22" s="216">
        <v>2.54</v>
      </c>
      <c r="J22" s="174">
        <v>14656</v>
      </c>
    </row>
    <row r="23" spans="1:13" ht="12" customHeight="1" x14ac:dyDescent="0.25">
      <c r="A23" s="365"/>
      <c r="B23" s="214">
        <v>2017</v>
      </c>
      <c r="C23" s="174">
        <v>3600</v>
      </c>
      <c r="D23" s="175" t="s">
        <v>77</v>
      </c>
      <c r="E23" s="174">
        <v>1389</v>
      </c>
      <c r="F23" s="175" t="s">
        <v>77</v>
      </c>
      <c r="G23" s="175" t="s">
        <v>77</v>
      </c>
      <c r="H23" s="174">
        <v>5000</v>
      </c>
      <c r="I23" s="216">
        <v>2.2999999999999998</v>
      </c>
      <c r="J23" s="174">
        <v>11500</v>
      </c>
    </row>
    <row r="24" spans="1:13" ht="12" customHeight="1" x14ac:dyDescent="0.25">
      <c r="A24" s="365"/>
      <c r="B24" s="170">
        <v>2018</v>
      </c>
      <c r="C24" s="174">
        <v>3500</v>
      </c>
      <c r="D24" s="175" t="s">
        <v>77</v>
      </c>
      <c r="E24" s="174">
        <v>1057</v>
      </c>
      <c r="F24" s="175" t="s">
        <v>77</v>
      </c>
      <c r="G24" s="175" t="s">
        <v>77</v>
      </c>
      <c r="H24" s="174">
        <v>3700</v>
      </c>
      <c r="I24" s="216">
        <v>2</v>
      </c>
      <c r="J24" s="174">
        <v>7400</v>
      </c>
      <c r="K24" s="46"/>
    </row>
    <row r="25" spans="1:13" ht="12" customHeight="1" x14ac:dyDescent="0.25">
      <c r="A25" s="365"/>
      <c r="B25" s="170">
        <v>2019</v>
      </c>
      <c r="C25" s="174" t="s">
        <v>77</v>
      </c>
      <c r="D25" s="175" t="s">
        <v>77</v>
      </c>
      <c r="E25" s="174" t="s">
        <v>77</v>
      </c>
      <c r="F25" s="175" t="s">
        <v>77</v>
      </c>
      <c r="G25" s="175" t="s">
        <v>77</v>
      </c>
      <c r="H25" s="174" t="s">
        <v>77</v>
      </c>
      <c r="I25" s="216" t="s">
        <v>77</v>
      </c>
      <c r="J25" s="174" t="s">
        <v>77</v>
      </c>
      <c r="K25" s="46"/>
      <c r="L25" s="61"/>
      <c r="M25" s="62"/>
    </row>
    <row r="26" spans="1:13" ht="12" customHeight="1" x14ac:dyDescent="0.25">
      <c r="A26" s="365"/>
      <c r="B26" s="170">
        <v>2020</v>
      </c>
      <c r="C26" s="174" t="s">
        <v>77</v>
      </c>
      <c r="D26" s="175" t="s">
        <v>77</v>
      </c>
      <c r="E26" s="174" t="s">
        <v>77</v>
      </c>
      <c r="F26" s="175" t="s">
        <v>77</v>
      </c>
      <c r="G26" s="175" t="s">
        <v>77</v>
      </c>
      <c r="H26" s="174" t="s">
        <v>77</v>
      </c>
      <c r="I26" s="216" t="s">
        <v>77</v>
      </c>
      <c r="J26" s="174" t="s">
        <v>77</v>
      </c>
      <c r="K26" s="480"/>
      <c r="L26" s="61"/>
      <c r="M26" s="62"/>
    </row>
    <row r="27" spans="1:13" ht="12" customHeight="1" x14ac:dyDescent="0.2">
      <c r="A27" s="63"/>
      <c r="B27" s="170"/>
      <c r="C27" s="172"/>
      <c r="D27" s="175"/>
      <c r="E27" s="286"/>
      <c r="H27" s="174"/>
      <c r="I27" s="178"/>
      <c r="J27" s="172"/>
      <c r="L27" s="61"/>
    </row>
    <row r="28" spans="1:13" ht="12" customHeight="1" x14ac:dyDescent="0.2">
      <c r="A28" s="366" t="s">
        <v>46</v>
      </c>
      <c r="B28" s="170"/>
      <c r="C28" s="172"/>
      <c r="D28" s="175"/>
      <c r="E28" s="172"/>
      <c r="F28" s="287" t="s">
        <v>51</v>
      </c>
      <c r="G28" s="127" t="s">
        <v>50</v>
      </c>
      <c r="H28" s="174"/>
      <c r="I28" s="178"/>
      <c r="J28" s="172"/>
    </row>
    <row r="29" spans="1:13" ht="12" customHeight="1" x14ac:dyDescent="0.2">
      <c r="A29" s="457" t="s">
        <v>45</v>
      </c>
      <c r="B29" s="170">
        <v>2011</v>
      </c>
      <c r="C29" s="172">
        <v>153000</v>
      </c>
      <c r="D29" s="173" t="s">
        <v>77</v>
      </c>
      <c r="E29" s="172">
        <v>2900</v>
      </c>
      <c r="F29" s="172">
        <v>341000</v>
      </c>
      <c r="G29" s="172">
        <v>103000</v>
      </c>
      <c r="H29" s="174">
        <v>444000</v>
      </c>
      <c r="I29" s="178">
        <v>1.98</v>
      </c>
      <c r="J29" s="172">
        <v>879120</v>
      </c>
    </row>
    <row r="30" spans="1:13" ht="12" customHeight="1" x14ac:dyDescent="0.25">
      <c r="A30" s="365"/>
      <c r="B30" s="171">
        <v>2012</v>
      </c>
      <c r="C30" s="172">
        <v>182000</v>
      </c>
      <c r="D30" s="173" t="s">
        <v>77</v>
      </c>
      <c r="E30" s="172">
        <v>3030</v>
      </c>
      <c r="F30" s="172">
        <v>464000</v>
      </c>
      <c r="G30" s="172">
        <v>87000</v>
      </c>
      <c r="H30" s="174">
        <v>551000</v>
      </c>
      <c r="I30" s="178">
        <v>2.61</v>
      </c>
      <c r="J30" s="172">
        <v>1438110</v>
      </c>
    </row>
    <row r="31" spans="1:13" ht="12" customHeight="1" x14ac:dyDescent="0.25">
      <c r="A31" s="365"/>
      <c r="B31" s="171">
        <v>2013</v>
      </c>
      <c r="C31" s="172">
        <v>203000</v>
      </c>
      <c r="D31" s="173" t="s">
        <v>77</v>
      </c>
      <c r="E31" s="172">
        <v>2320</v>
      </c>
      <c r="F31" s="172">
        <v>379000</v>
      </c>
      <c r="G31" s="172">
        <v>91000</v>
      </c>
      <c r="H31" s="174">
        <v>470000</v>
      </c>
      <c r="I31" s="178">
        <v>3.48</v>
      </c>
      <c r="J31" s="172">
        <v>1635600</v>
      </c>
    </row>
    <row r="32" spans="1:13" ht="12" customHeight="1" x14ac:dyDescent="0.25">
      <c r="A32" s="365"/>
      <c r="B32" s="214">
        <v>2014</v>
      </c>
      <c r="C32" s="174">
        <v>221000</v>
      </c>
      <c r="D32" s="175" t="s">
        <v>77</v>
      </c>
      <c r="E32" s="174">
        <v>2330</v>
      </c>
      <c r="F32" s="174">
        <v>408000</v>
      </c>
      <c r="G32" s="174">
        <v>106000</v>
      </c>
      <c r="H32" s="174">
        <v>514000</v>
      </c>
      <c r="I32" s="216">
        <v>3.57</v>
      </c>
      <c r="J32" s="174">
        <v>1834980</v>
      </c>
    </row>
    <row r="33" spans="1:20" ht="12" customHeight="1" x14ac:dyDescent="0.25">
      <c r="A33" s="365"/>
      <c r="B33" s="214">
        <v>2015</v>
      </c>
      <c r="C33" s="174">
        <v>233000</v>
      </c>
      <c r="D33" s="175" t="s">
        <v>77</v>
      </c>
      <c r="E33" s="174">
        <v>1160</v>
      </c>
      <c r="F33" s="174">
        <v>203600</v>
      </c>
      <c r="G33" s="174">
        <v>66400</v>
      </c>
      <c r="H33" s="174">
        <v>270000</v>
      </c>
      <c r="I33" s="216">
        <v>3.29</v>
      </c>
      <c r="J33" s="174">
        <v>888300</v>
      </c>
    </row>
    <row r="34" spans="1:20" ht="12" customHeight="1" x14ac:dyDescent="0.25">
      <c r="A34" s="365"/>
      <c r="B34" s="215">
        <v>2016</v>
      </c>
      <c r="C34" s="174">
        <v>239000</v>
      </c>
      <c r="D34" s="175" t="s">
        <v>77</v>
      </c>
      <c r="E34" s="174">
        <v>3750</v>
      </c>
      <c r="F34" s="174">
        <v>666700</v>
      </c>
      <c r="G34" s="174">
        <v>229800</v>
      </c>
      <c r="H34" s="174">
        <v>896500</v>
      </c>
      <c r="I34" s="216">
        <v>1.68</v>
      </c>
      <c r="J34" s="174">
        <v>1506120</v>
      </c>
    </row>
    <row r="35" spans="1:20" ht="12" customHeight="1" x14ac:dyDescent="0.25">
      <c r="A35" s="365"/>
      <c r="B35" s="215">
        <v>2017</v>
      </c>
      <c r="C35" s="174">
        <v>250000</v>
      </c>
      <c r="D35" s="175" t="s">
        <v>77</v>
      </c>
      <c r="E35" s="174">
        <v>2400</v>
      </c>
      <c r="F35" s="174">
        <v>460600</v>
      </c>
      <c r="G35" s="174">
        <v>139700</v>
      </c>
      <c r="H35" s="174">
        <v>600300</v>
      </c>
      <c r="I35" s="216">
        <v>1.69</v>
      </c>
      <c r="J35" s="174">
        <v>1014507</v>
      </c>
      <c r="K35" s="46"/>
    </row>
    <row r="36" spans="1:20" ht="12" customHeight="1" x14ac:dyDescent="0.25">
      <c r="A36" s="365"/>
      <c r="B36" s="170">
        <v>2018</v>
      </c>
      <c r="C36" s="174">
        <v>264000</v>
      </c>
      <c r="D36" s="175" t="s">
        <v>77</v>
      </c>
      <c r="E36" s="174">
        <v>3740</v>
      </c>
      <c r="F36" s="174">
        <v>742000</v>
      </c>
      <c r="G36" s="174">
        <v>245000</v>
      </c>
      <c r="H36" s="174">
        <v>987000</v>
      </c>
      <c r="I36" s="216">
        <v>2.65</v>
      </c>
      <c r="J36" s="174">
        <v>2615550</v>
      </c>
    </row>
    <row r="37" spans="1:20" ht="12" customHeight="1" x14ac:dyDescent="0.25">
      <c r="A37" s="365"/>
      <c r="B37" s="170">
        <v>2019</v>
      </c>
      <c r="C37" s="174">
        <v>340000</v>
      </c>
      <c r="D37" s="175" t="s">
        <v>77</v>
      </c>
      <c r="E37" s="174">
        <v>2180</v>
      </c>
      <c r="F37" s="174">
        <v>576500</v>
      </c>
      <c r="G37" s="174">
        <v>164500</v>
      </c>
      <c r="H37" s="174">
        <f>F37+G37</f>
        <v>741000</v>
      </c>
      <c r="I37" s="216">
        <v>2.81</v>
      </c>
      <c r="J37" s="174">
        <v>2082210</v>
      </c>
      <c r="L37" s="303"/>
    </row>
    <row r="38" spans="1:20" ht="12" customHeight="1" x14ac:dyDescent="0.25">
      <c r="A38" s="365"/>
      <c r="B38" s="170">
        <v>2020</v>
      </c>
      <c r="C38" s="174">
        <v>372000</v>
      </c>
      <c r="D38" s="175" t="s">
        <v>77</v>
      </c>
      <c r="E38" s="174">
        <v>2810</v>
      </c>
      <c r="F38" s="174">
        <v>865000</v>
      </c>
      <c r="G38" s="174">
        <v>180000</v>
      </c>
      <c r="H38" s="174">
        <f>F38+G38</f>
        <v>1045000</v>
      </c>
      <c r="I38" s="216">
        <v>2.75</v>
      </c>
      <c r="J38" s="174">
        <v>2873750</v>
      </c>
      <c r="K38" s="479">
        <f t="shared" ref="K38:R38" si="1">(C38-C37)/C37</f>
        <v>9.4117647058823528E-2</v>
      </c>
      <c r="L38" s="263" t="e">
        <f t="shared" si="1"/>
        <v>#VALUE!</v>
      </c>
      <c r="M38" s="263">
        <f t="shared" si="1"/>
        <v>0.28899082568807338</v>
      </c>
      <c r="N38" s="263">
        <f t="shared" si="1"/>
        <v>0.50043365134431916</v>
      </c>
      <c r="O38" s="263">
        <f t="shared" si="1"/>
        <v>9.4224924012158054E-2</v>
      </c>
      <c r="P38" s="263">
        <f t="shared" si="1"/>
        <v>0.41025641025641024</v>
      </c>
      <c r="Q38" s="263">
        <f t="shared" si="1"/>
        <v>-2.1352313167259804E-2</v>
      </c>
      <c r="R38" s="263">
        <f t="shared" si="1"/>
        <v>0.38014417373847981</v>
      </c>
      <c r="S38" s="69">
        <f>C38</f>
        <v>372000</v>
      </c>
      <c r="T38" s="69">
        <f>H38</f>
        <v>1045000</v>
      </c>
    </row>
    <row r="39" spans="1:20" ht="12" customHeight="1" x14ac:dyDescent="0.25">
      <c r="A39" s="365"/>
      <c r="B39" s="60"/>
      <c r="C39" s="127"/>
      <c r="D39" s="127"/>
      <c r="E39" s="127"/>
      <c r="H39" s="174"/>
      <c r="I39" s="282"/>
      <c r="J39" s="126"/>
    </row>
    <row r="40" spans="1:20" ht="12" customHeight="1" x14ac:dyDescent="0.2">
      <c r="A40" s="63"/>
      <c r="B40" s="170"/>
      <c r="F40" s="127" t="s">
        <v>51</v>
      </c>
      <c r="G40" s="127" t="s">
        <v>50</v>
      </c>
      <c r="H40" s="174"/>
    </row>
    <row r="41" spans="1:20" ht="12" customHeight="1" x14ac:dyDescent="0.2">
      <c r="A41" s="366" t="s">
        <v>58</v>
      </c>
      <c r="B41" s="170"/>
      <c r="C41" s="286" t="s">
        <v>2</v>
      </c>
      <c r="D41" s="286" t="s">
        <v>2</v>
      </c>
      <c r="E41" s="363" t="s">
        <v>29</v>
      </c>
      <c r="F41" s="286" t="s">
        <v>29</v>
      </c>
      <c r="G41" s="286" t="s">
        <v>29</v>
      </c>
      <c r="H41" s="445" t="s">
        <v>29</v>
      </c>
      <c r="I41" s="364" t="s">
        <v>3</v>
      </c>
      <c r="J41" s="446">
        <v>1000</v>
      </c>
    </row>
    <row r="42" spans="1:20" ht="12" customHeight="1" x14ac:dyDescent="0.2">
      <c r="A42" s="367" t="s">
        <v>45</v>
      </c>
      <c r="B42" s="170">
        <v>2011</v>
      </c>
      <c r="C42" s="172">
        <v>265000</v>
      </c>
      <c r="D42" s="172">
        <v>35000</v>
      </c>
      <c r="E42" s="177">
        <v>1.74</v>
      </c>
      <c r="F42" s="172">
        <v>125000</v>
      </c>
      <c r="G42" s="172">
        <v>336000</v>
      </c>
      <c r="H42" s="174">
        <v>461000</v>
      </c>
      <c r="I42" s="178">
        <v>2900</v>
      </c>
      <c r="J42" s="172">
        <v>1336900</v>
      </c>
    </row>
    <row r="43" spans="1:20" ht="12" customHeight="1" x14ac:dyDescent="0.25">
      <c r="A43" s="365"/>
      <c r="B43" s="171">
        <v>2012</v>
      </c>
      <c r="C43" s="172">
        <v>270000</v>
      </c>
      <c r="D43" s="172" t="s">
        <v>77</v>
      </c>
      <c r="E43" s="177">
        <v>1.84</v>
      </c>
      <c r="F43" s="172">
        <v>153000</v>
      </c>
      <c r="G43" s="172">
        <v>344000</v>
      </c>
      <c r="H43" s="174">
        <v>497000</v>
      </c>
      <c r="I43" s="178">
        <v>3030</v>
      </c>
      <c r="J43" s="172">
        <v>1505910</v>
      </c>
    </row>
    <row r="44" spans="1:20" ht="12" customHeight="1" x14ac:dyDescent="0.25">
      <c r="A44" s="365"/>
      <c r="B44" s="171">
        <v>2013</v>
      </c>
      <c r="C44" s="174">
        <v>280000</v>
      </c>
      <c r="D44" s="174">
        <v>45000</v>
      </c>
      <c r="E44" s="177">
        <v>1.76</v>
      </c>
      <c r="F44" s="172">
        <v>148000</v>
      </c>
      <c r="G44" s="172">
        <v>344000</v>
      </c>
      <c r="H44" s="174">
        <v>492000</v>
      </c>
      <c r="I44" s="178">
        <v>3710</v>
      </c>
      <c r="J44" s="172">
        <v>1825320</v>
      </c>
    </row>
    <row r="45" spans="1:20" ht="12" customHeight="1" x14ac:dyDescent="0.25">
      <c r="A45" s="365"/>
      <c r="B45" s="214">
        <v>2014</v>
      </c>
      <c r="C45" s="174">
        <v>290000</v>
      </c>
      <c r="D45" s="174" t="s">
        <v>77</v>
      </c>
      <c r="E45" s="176">
        <v>1.97</v>
      </c>
      <c r="F45" s="174">
        <v>149000</v>
      </c>
      <c r="G45" s="174">
        <v>422000</v>
      </c>
      <c r="H45" s="174">
        <v>571000</v>
      </c>
      <c r="I45" s="216">
        <v>3340</v>
      </c>
      <c r="J45" s="174">
        <v>1907140</v>
      </c>
    </row>
    <row r="46" spans="1:20" ht="12" customHeight="1" x14ac:dyDescent="0.25">
      <c r="A46" s="365"/>
      <c r="B46" s="214">
        <v>2015</v>
      </c>
      <c r="C46" s="174">
        <v>300000</v>
      </c>
      <c r="D46" s="174">
        <v>65000</v>
      </c>
      <c r="E46" s="176">
        <v>2.02</v>
      </c>
      <c r="F46" s="174">
        <v>146000</v>
      </c>
      <c r="G46" s="174">
        <v>460000</v>
      </c>
      <c r="H46" s="174">
        <v>606000</v>
      </c>
      <c r="I46" s="216">
        <v>1670</v>
      </c>
      <c r="J46" s="174">
        <v>1012020</v>
      </c>
    </row>
    <row r="47" spans="1:20" ht="12" customHeight="1" x14ac:dyDescent="0.25">
      <c r="A47" s="365"/>
      <c r="B47" s="214">
        <v>2016</v>
      </c>
      <c r="C47" s="174">
        <v>315000</v>
      </c>
      <c r="D47" s="174" t="s">
        <v>77</v>
      </c>
      <c r="E47" s="176">
        <v>2.19</v>
      </c>
      <c r="F47" s="174">
        <v>193000</v>
      </c>
      <c r="G47" s="174">
        <v>496000</v>
      </c>
      <c r="H47" s="174">
        <v>689000</v>
      </c>
      <c r="I47" s="216">
        <v>1850</v>
      </c>
      <c r="J47" s="174">
        <v>1274650</v>
      </c>
      <c r="K47" s="194"/>
    </row>
    <row r="48" spans="1:20" ht="12" customHeight="1" x14ac:dyDescent="0.25">
      <c r="A48" s="365"/>
      <c r="B48" s="214">
        <v>2017</v>
      </c>
      <c r="C48" s="174">
        <v>335000</v>
      </c>
      <c r="D48" s="174">
        <v>65000</v>
      </c>
      <c r="E48" s="176">
        <v>1.88</v>
      </c>
      <c r="F48" s="174">
        <v>189000</v>
      </c>
      <c r="G48" s="174">
        <v>441000</v>
      </c>
      <c r="H48" s="174">
        <v>630000</v>
      </c>
      <c r="I48" s="216">
        <v>2490</v>
      </c>
      <c r="J48" s="174">
        <v>1568700</v>
      </c>
      <c r="K48" s="263"/>
    </row>
    <row r="49" spans="1:20" ht="12" customHeight="1" x14ac:dyDescent="0.25">
      <c r="A49" s="368"/>
      <c r="B49" s="171">
        <v>2018</v>
      </c>
      <c r="C49" s="174">
        <v>350000</v>
      </c>
      <c r="D49" s="174" t="s">
        <v>77</v>
      </c>
      <c r="E49" s="176">
        <v>1.94</v>
      </c>
      <c r="F49" s="174">
        <v>171000</v>
      </c>
      <c r="G49" s="174">
        <v>508000</v>
      </c>
      <c r="H49" s="174">
        <v>679000</v>
      </c>
      <c r="I49" s="216">
        <v>1350</v>
      </c>
      <c r="J49" s="174">
        <v>916650</v>
      </c>
      <c r="K49" s="46"/>
      <c r="L49" s="61"/>
    </row>
    <row r="50" spans="1:20" ht="12" customHeight="1" x14ac:dyDescent="0.2">
      <c r="A50" s="63"/>
      <c r="B50" s="171">
        <v>2019</v>
      </c>
      <c r="C50" s="174">
        <v>365000</v>
      </c>
      <c r="D50" s="174">
        <v>75000</v>
      </c>
      <c r="E50" s="176">
        <v>1.79</v>
      </c>
      <c r="F50" s="174">
        <v>142000</v>
      </c>
      <c r="G50" s="174">
        <v>513000</v>
      </c>
      <c r="H50" s="174">
        <f>F50+G50</f>
        <v>655000</v>
      </c>
      <c r="I50" s="216">
        <v>1890</v>
      </c>
      <c r="J50" s="174">
        <v>1237950</v>
      </c>
      <c r="K50" s="63"/>
      <c r="L50" s="61"/>
    </row>
    <row r="51" spans="1:20" ht="12" customHeight="1" thickBot="1" x14ac:dyDescent="0.25">
      <c r="A51" s="63"/>
      <c r="B51" s="171">
        <v>2020</v>
      </c>
      <c r="C51" s="174">
        <v>380000</v>
      </c>
      <c r="D51" s="174" t="s">
        <v>77</v>
      </c>
      <c r="E51" s="176">
        <v>2.0699999999999998</v>
      </c>
      <c r="F51" s="174">
        <v>194000</v>
      </c>
      <c r="G51" s="174">
        <v>591000</v>
      </c>
      <c r="H51" s="174">
        <f>F51+G51</f>
        <v>785000</v>
      </c>
      <c r="I51" s="216">
        <v>1220</v>
      </c>
      <c r="J51" s="174">
        <v>957700</v>
      </c>
      <c r="K51" s="479">
        <f t="shared" ref="K51:R51" si="2">(C51-C50)/C50</f>
        <v>4.1095890410958902E-2</v>
      </c>
      <c r="L51" s="263" t="e">
        <f t="shared" si="2"/>
        <v>#VALUE!</v>
      </c>
      <c r="M51" s="263">
        <f t="shared" si="2"/>
        <v>0.15642458100558648</v>
      </c>
      <c r="N51" s="263">
        <f t="shared" si="2"/>
        <v>0.36619718309859156</v>
      </c>
      <c r="O51" s="263">
        <f t="shared" si="2"/>
        <v>0.15204678362573099</v>
      </c>
      <c r="P51" s="263">
        <f t="shared" si="2"/>
        <v>0.19847328244274809</v>
      </c>
      <c r="Q51" s="263">
        <f t="shared" si="2"/>
        <v>-0.35449735449735448</v>
      </c>
      <c r="R51" s="263">
        <f t="shared" si="2"/>
        <v>-0.22638232561896685</v>
      </c>
      <c r="S51" s="69">
        <f>C51</f>
        <v>380000</v>
      </c>
      <c r="T51" s="69">
        <f>H51</f>
        <v>785000</v>
      </c>
    </row>
    <row r="52" spans="1:20" ht="13.5" customHeight="1" x14ac:dyDescent="0.2">
      <c r="A52" s="312" t="s">
        <v>76</v>
      </c>
      <c r="B52" s="362"/>
      <c r="C52" s="362"/>
      <c r="D52" s="362"/>
      <c r="E52" s="362"/>
      <c r="F52" s="362"/>
      <c r="G52" s="362"/>
      <c r="H52" s="362"/>
      <c r="I52" s="362"/>
      <c r="J52" s="362"/>
      <c r="S52" s="69">
        <f>SUM(S6:S51)</f>
        <v>2002000</v>
      </c>
      <c r="T52" s="69">
        <f>SUM(T6:T51)</f>
        <v>4945000</v>
      </c>
    </row>
    <row r="53" spans="1:20" ht="12" customHeight="1" x14ac:dyDescent="0.2">
      <c r="A53" s="293" t="s">
        <v>170</v>
      </c>
      <c r="B53" s="296"/>
      <c r="C53" s="296"/>
      <c r="D53" s="296"/>
      <c r="E53" s="296"/>
      <c r="F53" s="296"/>
      <c r="G53" s="296"/>
      <c r="H53" s="296"/>
      <c r="I53" s="296"/>
      <c r="J53" s="296"/>
      <c r="T53" s="31">
        <f>T52/2</f>
        <v>2472500</v>
      </c>
    </row>
    <row r="54" spans="1:20" s="423" customFormat="1" ht="12" customHeight="1" x14ac:dyDescent="0.2">
      <c r="A54" s="293" t="s">
        <v>171</v>
      </c>
      <c r="B54" s="458"/>
      <c r="C54" s="458"/>
      <c r="D54" s="458"/>
      <c r="E54" s="458"/>
      <c r="F54" s="458"/>
      <c r="G54" s="458"/>
      <c r="H54" s="458"/>
      <c r="I54" s="458"/>
      <c r="J54" s="458"/>
    </row>
    <row r="55" spans="1:20" ht="12" customHeight="1" x14ac:dyDescent="0.2">
      <c r="A55" s="293" t="s">
        <v>84</v>
      </c>
      <c r="B55" s="360"/>
      <c r="C55" s="360"/>
      <c r="D55" s="360"/>
      <c r="E55" s="360"/>
      <c r="F55" s="360"/>
      <c r="G55" s="360"/>
      <c r="H55" s="360"/>
      <c r="I55" s="361"/>
      <c r="J55" s="360"/>
    </row>
    <row r="56" spans="1:20" ht="12" customHeight="1" x14ac:dyDescent="0.2">
      <c r="A56" s="63"/>
      <c r="C56" s="65"/>
      <c r="D56" s="65"/>
      <c r="E56" s="67"/>
      <c r="F56" s="65"/>
      <c r="G56" s="65"/>
      <c r="H56" s="65"/>
      <c r="I56" s="67"/>
      <c r="J56" s="65"/>
    </row>
    <row r="57" spans="1:20" ht="11.1" customHeight="1" x14ac:dyDescent="0.2">
      <c r="A57" s="63"/>
      <c r="C57" s="65"/>
      <c r="D57" s="66"/>
      <c r="E57" s="67"/>
      <c r="F57" s="65"/>
      <c r="G57" s="65"/>
      <c r="H57" s="65"/>
      <c r="I57" s="67"/>
      <c r="J57" s="65"/>
    </row>
    <row r="58" spans="1:20" ht="11.1" customHeight="1" x14ac:dyDescent="0.2">
      <c r="A58" s="375"/>
      <c r="C58" s="65"/>
      <c r="D58" s="65"/>
      <c r="E58" s="67"/>
      <c r="F58" s="65"/>
      <c r="G58" s="65"/>
      <c r="H58" s="65"/>
      <c r="I58" s="67"/>
      <c r="J58" s="65"/>
    </row>
    <row r="59" spans="1:20" ht="11.1" customHeight="1" x14ac:dyDescent="0.2">
      <c r="A59" s="63"/>
      <c r="B59" s="64" t="s">
        <v>68</v>
      </c>
      <c r="C59" s="65"/>
      <c r="D59" s="65"/>
      <c r="E59" s="67"/>
      <c r="F59" s="65"/>
      <c r="G59" s="65"/>
      <c r="H59" s="65"/>
      <c r="I59" s="67"/>
      <c r="J59" s="65"/>
    </row>
    <row r="60" spans="1:20" ht="11.1" customHeight="1" x14ac:dyDescent="0.2">
      <c r="A60" s="63"/>
      <c r="C60" s="65"/>
      <c r="D60" s="65"/>
      <c r="E60" s="67"/>
      <c r="F60" s="65"/>
      <c r="G60" s="65"/>
      <c r="H60" s="65"/>
      <c r="I60" s="67"/>
      <c r="J60" s="65"/>
    </row>
    <row r="61" spans="1:20" ht="11.1" customHeight="1" x14ac:dyDescent="0.2">
      <c r="A61" s="63"/>
      <c r="C61" s="65"/>
      <c r="D61" s="65"/>
      <c r="E61" s="67"/>
      <c r="F61" s="65"/>
      <c r="G61" s="65"/>
      <c r="H61" s="65"/>
      <c r="I61" s="67"/>
      <c r="J61" s="65"/>
    </row>
    <row r="62" spans="1:20" ht="11.1" customHeight="1" x14ac:dyDescent="0.2">
      <c r="E62" s="68"/>
      <c r="I62" s="67"/>
      <c r="J62" s="68"/>
    </row>
    <row r="63" spans="1:20" ht="11.1" customHeight="1" x14ac:dyDescent="0.2">
      <c r="A63" s="63"/>
      <c r="C63" s="69"/>
      <c r="D63" s="69"/>
      <c r="E63" s="68"/>
      <c r="F63" s="69"/>
      <c r="G63" s="69"/>
      <c r="H63" s="69"/>
      <c r="I63" s="67"/>
      <c r="J63" s="65"/>
      <c r="L63" s="423"/>
    </row>
    <row r="64" spans="1:20" ht="11.1" customHeight="1" x14ac:dyDescent="0.2">
      <c r="A64" s="63"/>
      <c r="C64" s="69"/>
      <c r="D64" s="69"/>
      <c r="E64" s="68"/>
      <c r="F64" s="69"/>
      <c r="G64" s="69"/>
      <c r="H64" s="69"/>
      <c r="I64" s="67"/>
      <c r="J64" s="65"/>
    </row>
    <row r="65" spans="1:10" ht="11.1" customHeight="1" x14ac:dyDescent="0.2">
      <c r="A65" s="63"/>
      <c r="C65" s="69"/>
      <c r="D65" s="69"/>
      <c r="E65" s="68"/>
      <c r="F65" s="69"/>
      <c r="G65" s="69"/>
      <c r="H65" s="69"/>
      <c r="I65" s="67"/>
      <c r="J65" s="65"/>
    </row>
    <row r="66" spans="1:10" ht="11.1" customHeight="1" x14ac:dyDescent="0.2">
      <c r="A66" s="63"/>
      <c r="C66" s="69"/>
      <c r="D66" s="69"/>
      <c r="E66" s="68"/>
      <c r="F66" s="69"/>
      <c r="G66" s="69"/>
      <c r="H66" s="69"/>
      <c r="I66" s="67"/>
      <c r="J66" s="65"/>
    </row>
    <row r="67" spans="1:10" ht="11.1" customHeight="1" x14ac:dyDescent="0.2">
      <c r="A67" s="63"/>
      <c r="C67" s="69"/>
      <c r="D67" s="69"/>
      <c r="E67" s="68"/>
      <c r="F67" s="69"/>
      <c r="G67" s="69"/>
      <c r="H67" s="69"/>
      <c r="I67" s="67"/>
      <c r="J67" s="65"/>
    </row>
    <row r="68" spans="1:10" ht="11.1" customHeight="1" x14ac:dyDescent="0.2">
      <c r="A68" s="63"/>
      <c r="C68" s="69"/>
      <c r="D68" s="69"/>
      <c r="E68" s="68"/>
      <c r="F68" s="69"/>
      <c r="G68" s="69"/>
      <c r="H68" s="69"/>
      <c r="I68" s="67"/>
      <c r="J68" s="65"/>
    </row>
    <row r="69" spans="1:10" ht="11.1" customHeight="1" x14ac:dyDescent="0.2">
      <c r="A69" s="63"/>
      <c r="C69" s="69"/>
      <c r="D69" s="69"/>
      <c r="E69" s="68"/>
      <c r="F69" s="69"/>
      <c r="G69" s="69"/>
      <c r="H69" s="69"/>
      <c r="I69" s="67"/>
      <c r="J69" s="65"/>
    </row>
    <row r="70" spans="1:10" ht="11.1" customHeight="1" x14ac:dyDescent="0.2">
      <c r="A70" s="63"/>
      <c r="C70" s="69"/>
      <c r="D70" s="69"/>
      <c r="E70" s="68"/>
      <c r="F70" s="69"/>
      <c r="G70" s="69"/>
      <c r="H70" s="69"/>
      <c r="I70" s="67"/>
      <c r="J70" s="65"/>
    </row>
    <row r="71" spans="1:10" ht="11.1" customHeight="1" x14ac:dyDescent="0.2">
      <c r="A71" s="63"/>
      <c r="E71" s="68"/>
      <c r="I71" s="67"/>
      <c r="J71" s="68"/>
    </row>
    <row r="72" spans="1:10" ht="11.1" customHeight="1" x14ac:dyDescent="0.2">
      <c r="A72" s="63"/>
      <c r="E72" s="68"/>
      <c r="I72" s="67"/>
      <c r="J72" s="68"/>
    </row>
    <row r="73" spans="1:10" ht="11.1" customHeight="1" x14ac:dyDescent="0.2">
      <c r="I73" s="67"/>
      <c r="J73" s="68"/>
    </row>
    <row r="74" spans="1:10" ht="11.1" customHeight="1" x14ac:dyDescent="0.2">
      <c r="A74" s="63"/>
      <c r="C74" s="65"/>
      <c r="D74" s="65"/>
      <c r="E74" s="67"/>
      <c r="F74" s="65"/>
      <c r="G74" s="65"/>
      <c r="H74" s="65"/>
      <c r="I74" s="67"/>
      <c r="J74" s="65"/>
    </row>
    <row r="75" spans="1:10" ht="11.1" customHeight="1" x14ac:dyDescent="0.2">
      <c r="A75" s="63"/>
      <c r="C75" s="65"/>
      <c r="D75" s="66"/>
      <c r="E75" s="67"/>
      <c r="F75" s="65"/>
      <c r="G75" s="65"/>
      <c r="H75" s="65"/>
      <c r="I75" s="67"/>
      <c r="J75" s="65"/>
    </row>
    <row r="76" spans="1:10" ht="11.1" customHeight="1" x14ac:dyDescent="0.2">
      <c r="A76" s="63"/>
      <c r="C76" s="65"/>
      <c r="D76" s="66"/>
      <c r="E76" s="67"/>
      <c r="F76" s="65"/>
      <c r="G76" s="65"/>
      <c r="H76" s="65"/>
      <c r="I76" s="67"/>
      <c r="J76" s="65"/>
    </row>
    <row r="77" spans="1:10" ht="11.1" customHeight="1" x14ac:dyDescent="0.2">
      <c r="A77" s="63"/>
      <c r="C77" s="65"/>
      <c r="D77" s="66"/>
      <c r="E77" s="67"/>
      <c r="F77" s="65"/>
      <c r="G77" s="65"/>
      <c r="H77" s="65"/>
      <c r="I77" s="67"/>
      <c r="J77" s="65"/>
    </row>
    <row r="78" spans="1:10" ht="11.1" customHeight="1" x14ac:dyDescent="0.2">
      <c r="A78" s="63"/>
      <c r="C78" s="65"/>
      <c r="D78" s="65"/>
      <c r="E78" s="67"/>
      <c r="F78" s="65"/>
      <c r="G78" s="65"/>
      <c r="H78" s="65"/>
      <c r="I78" s="67"/>
      <c r="J78" s="65"/>
    </row>
    <row r="79" spans="1:10" ht="11.1" customHeight="1" x14ac:dyDescent="0.2">
      <c r="A79" s="63"/>
      <c r="C79" s="65"/>
      <c r="D79" s="66"/>
      <c r="E79" s="67"/>
      <c r="F79" s="65"/>
      <c r="G79" s="65"/>
      <c r="H79" s="65"/>
      <c r="I79" s="67"/>
      <c r="J79" s="65"/>
    </row>
    <row r="80" spans="1:10" ht="11.1" customHeight="1" x14ac:dyDescent="0.2">
      <c r="A80" s="63"/>
      <c r="C80" s="65"/>
      <c r="D80" s="65"/>
      <c r="E80" s="67"/>
      <c r="F80" s="65"/>
      <c r="G80" s="65"/>
      <c r="H80" s="65"/>
      <c r="I80" s="67"/>
      <c r="J80" s="65"/>
    </row>
    <row r="81" spans="1:10" ht="11.1" customHeight="1" x14ac:dyDescent="0.2">
      <c r="A81" s="63"/>
      <c r="C81" s="65"/>
      <c r="D81" s="65"/>
      <c r="E81" s="67"/>
      <c r="F81" s="65"/>
      <c r="G81" s="65"/>
      <c r="H81" s="65"/>
      <c r="I81" s="67"/>
      <c r="J81" s="65"/>
    </row>
    <row r="82" spans="1:10" ht="11.1" customHeight="1" x14ac:dyDescent="0.2">
      <c r="A82" s="63"/>
      <c r="C82" s="65"/>
      <c r="D82" s="65"/>
      <c r="E82" s="67"/>
      <c r="F82" s="65"/>
      <c r="G82" s="65"/>
      <c r="H82" s="65"/>
      <c r="I82" s="67"/>
      <c r="J82" s="65"/>
    </row>
    <row r="83" spans="1:10" ht="11.1" customHeight="1" x14ac:dyDescent="0.2">
      <c r="A83" s="63"/>
      <c r="C83" s="65"/>
      <c r="D83" s="65"/>
      <c r="E83" s="67"/>
      <c r="F83" s="65"/>
      <c r="G83" s="65"/>
      <c r="H83" s="65"/>
      <c r="I83" s="67"/>
      <c r="J83" s="65"/>
    </row>
    <row r="84" spans="1:10" ht="11.1" customHeight="1" x14ac:dyDescent="0.2"/>
    <row r="85" spans="1:10" ht="11.1" customHeight="1" x14ac:dyDescent="0.2">
      <c r="A85" s="63"/>
      <c r="C85" s="65"/>
      <c r="D85" s="65"/>
      <c r="E85" s="67"/>
      <c r="F85" s="65"/>
      <c r="G85" s="65"/>
      <c r="H85" s="65"/>
      <c r="I85" s="67"/>
      <c r="J85" s="65"/>
    </row>
    <row r="86" spans="1:10" ht="11.1" customHeight="1" x14ac:dyDescent="0.2">
      <c r="A86" s="63"/>
      <c r="C86" s="65"/>
      <c r="D86" s="66"/>
      <c r="E86" s="67"/>
      <c r="F86" s="65"/>
      <c r="G86" s="65"/>
      <c r="H86" s="65"/>
      <c r="I86" s="67"/>
      <c r="J86" s="65"/>
    </row>
    <row r="87" spans="1:10" ht="11.1" customHeight="1" x14ac:dyDescent="0.2">
      <c r="A87" s="63"/>
      <c r="C87" s="65"/>
      <c r="D87" s="66"/>
      <c r="E87" s="67"/>
      <c r="F87" s="65"/>
      <c r="G87" s="65"/>
      <c r="H87" s="65"/>
      <c r="I87" s="67"/>
      <c r="J87" s="65"/>
    </row>
    <row r="88" spans="1:10" ht="11.1" customHeight="1" x14ac:dyDescent="0.2">
      <c r="A88" s="63"/>
      <c r="C88" s="65"/>
      <c r="D88" s="66"/>
      <c r="E88" s="67"/>
      <c r="F88" s="65"/>
      <c r="G88" s="65"/>
      <c r="H88" s="65"/>
      <c r="I88" s="67"/>
      <c r="J88" s="65"/>
    </row>
    <row r="89" spans="1:10" ht="11.1" customHeight="1" x14ac:dyDescent="0.2">
      <c r="A89" s="63"/>
      <c r="C89" s="65"/>
      <c r="D89" s="65"/>
      <c r="E89" s="67"/>
      <c r="F89" s="65"/>
      <c r="G89" s="65"/>
      <c r="H89" s="65"/>
      <c r="I89" s="67"/>
      <c r="J89" s="65"/>
    </row>
    <row r="90" spans="1:10" ht="11.1" customHeight="1" x14ac:dyDescent="0.2">
      <c r="A90" s="63"/>
      <c r="C90" s="65"/>
      <c r="D90" s="66"/>
      <c r="E90" s="67"/>
      <c r="F90" s="65"/>
      <c r="G90" s="65"/>
      <c r="H90" s="65"/>
      <c r="I90" s="67"/>
      <c r="J90" s="65"/>
    </row>
    <row r="91" spans="1:10" ht="11.1" customHeight="1" x14ac:dyDescent="0.2">
      <c r="A91" s="63"/>
      <c r="C91" s="65"/>
      <c r="D91" s="65"/>
      <c r="E91" s="67"/>
      <c r="F91" s="65"/>
      <c r="G91" s="65"/>
      <c r="H91" s="65"/>
      <c r="I91" s="67"/>
      <c r="J91" s="65"/>
    </row>
    <row r="92" spans="1:10" ht="11.1" customHeight="1" x14ac:dyDescent="0.2">
      <c r="A92" s="63"/>
      <c r="C92" s="65"/>
      <c r="D92" s="65"/>
      <c r="E92" s="67"/>
      <c r="F92" s="65"/>
      <c r="G92" s="65"/>
      <c r="H92" s="65"/>
      <c r="I92" s="67"/>
      <c r="J92" s="65"/>
    </row>
    <row r="93" spans="1:10" ht="11.1" customHeight="1" x14ac:dyDescent="0.2">
      <c r="A93" s="63"/>
      <c r="C93" s="65"/>
      <c r="D93" s="65"/>
      <c r="E93" s="67"/>
      <c r="F93" s="65"/>
      <c r="G93" s="65"/>
      <c r="H93" s="65"/>
      <c r="I93" s="67"/>
      <c r="J93" s="65"/>
    </row>
    <row r="94" spans="1:10" ht="11.1" customHeight="1" x14ac:dyDescent="0.2">
      <c r="A94" s="63"/>
      <c r="C94" s="65"/>
      <c r="D94" s="65"/>
      <c r="E94" s="67"/>
      <c r="F94" s="65"/>
      <c r="G94" s="65"/>
      <c r="H94" s="65"/>
      <c r="I94" s="67"/>
      <c r="J94" s="65"/>
    </row>
    <row r="95" spans="1:10" ht="11.1" customHeight="1" x14ac:dyDescent="0.2"/>
    <row r="96" spans="1:10" ht="11.1" customHeight="1" x14ac:dyDescent="0.2">
      <c r="A96" s="63"/>
      <c r="C96" s="65"/>
      <c r="D96" s="65"/>
      <c r="E96" s="67"/>
      <c r="F96" s="65"/>
      <c r="G96" s="65"/>
      <c r="H96" s="65"/>
      <c r="I96" s="67"/>
      <c r="J96" s="65"/>
    </row>
    <row r="97" spans="1:10" ht="11.1" customHeight="1" x14ac:dyDescent="0.2">
      <c r="A97" s="63"/>
      <c r="C97" s="65"/>
      <c r="D97" s="66"/>
      <c r="E97" s="67"/>
      <c r="F97" s="65"/>
      <c r="G97" s="65"/>
      <c r="H97" s="65"/>
      <c r="I97" s="67"/>
      <c r="J97" s="65"/>
    </row>
    <row r="98" spans="1:10" ht="11.1" customHeight="1" x14ac:dyDescent="0.2">
      <c r="A98" s="63"/>
      <c r="C98" s="65"/>
      <c r="D98" s="66"/>
      <c r="E98" s="67"/>
      <c r="F98" s="65"/>
      <c r="G98" s="65"/>
      <c r="H98" s="65"/>
      <c r="I98" s="67"/>
      <c r="J98" s="65"/>
    </row>
    <row r="99" spans="1:10" ht="11.1" customHeight="1" x14ac:dyDescent="0.2">
      <c r="A99" s="63"/>
      <c r="C99" s="65"/>
      <c r="D99" s="66"/>
      <c r="E99" s="67"/>
      <c r="F99" s="65"/>
      <c r="G99" s="65"/>
      <c r="H99" s="65"/>
      <c r="I99" s="67"/>
      <c r="J99" s="65"/>
    </row>
    <row r="100" spans="1:10" ht="11.1" customHeight="1" x14ac:dyDescent="0.2">
      <c r="A100" s="63"/>
      <c r="C100" s="65"/>
      <c r="D100" s="65"/>
      <c r="E100" s="67"/>
      <c r="F100" s="65"/>
      <c r="G100" s="65"/>
      <c r="H100" s="65"/>
      <c r="I100" s="67"/>
      <c r="J100" s="65"/>
    </row>
    <row r="101" spans="1:10" ht="11.1" customHeight="1" x14ac:dyDescent="0.2">
      <c r="A101" s="63"/>
      <c r="C101" s="65"/>
      <c r="D101" s="66"/>
      <c r="E101" s="67"/>
      <c r="F101" s="65"/>
      <c r="G101" s="65"/>
      <c r="H101" s="65"/>
      <c r="I101" s="67"/>
      <c r="J101" s="65"/>
    </row>
    <row r="102" spans="1:10" ht="11.1" customHeight="1" x14ac:dyDescent="0.2">
      <c r="A102" s="63"/>
      <c r="C102" s="65"/>
      <c r="D102" s="65"/>
      <c r="E102" s="67"/>
      <c r="F102" s="65"/>
      <c r="G102" s="65"/>
      <c r="H102" s="65"/>
      <c r="I102" s="67"/>
      <c r="J102" s="65"/>
    </row>
    <row r="103" spans="1:10" ht="11.1" customHeight="1" x14ac:dyDescent="0.2">
      <c r="A103" s="63"/>
      <c r="C103" s="65"/>
      <c r="D103" s="65"/>
      <c r="E103" s="67"/>
      <c r="F103" s="65"/>
      <c r="G103" s="65"/>
      <c r="H103" s="65"/>
      <c r="I103" s="67"/>
      <c r="J103" s="65"/>
    </row>
    <row r="104" spans="1:10" ht="11.1" customHeight="1" x14ac:dyDescent="0.2">
      <c r="A104" s="63"/>
      <c r="C104" s="65"/>
      <c r="D104" s="65"/>
      <c r="E104" s="67"/>
      <c r="F104" s="65"/>
      <c r="G104" s="65"/>
      <c r="H104" s="65"/>
      <c r="I104" s="67"/>
      <c r="J104" s="65"/>
    </row>
    <row r="105" spans="1:10" ht="11.1" customHeight="1" x14ac:dyDescent="0.2">
      <c r="A105" s="63"/>
      <c r="C105" s="65"/>
      <c r="D105" s="65"/>
      <c r="E105" s="67"/>
      <c r="F105" s="65"/>
      <c r="G105" s="65"/>
      <c r="H105" s="65"/>
      <c r="I105" s="67"/>
      <c r="J105" s="65"/>
    </row>
    <row r="106" spans="1:10" ht="11.1" customHeight="1" x14ac:dyDescent="0.2"/>
    <row r="107" spans="1:10" ht="11.1" customHeight="1" x14ac:dyDescent="0.2">
      <c r="A107" s="63"/>
      <c r="C107" s="65"/>
      <c r="D107" s="65"/>
      <c r="E107" s="67"/>
      <c r="F107" s="65"/>
      <c r="G107" s="65"/>
      <c r="H107" s="65"/>
      <c r="I107" s="67"/>
      <c r="J107" s="65"/>
    </row>
    <row r="108" spans="1:10" ht="11.1" customHeight="1" x14ac:dyDescent="0.2">
      <c r="A108" s="63"/>
      <c r="C108" s="65"/>
      <c r="D108" s="66"/>
      <c r="E108" s="67"/>
      <c r="F108" s="65"/>
      <c r="G108" s="65"/>
      <c r="H108" s="65"/>
      <c r="I108" s="67"/>
      <c r="J108" s="65"/>
    </row>
    <row r="109" spans="1:10" ht="11.1" customHeight="1" x14ac:dyDescent="0.2">
      <c r="A109" s="63"/>
      <c r="C109" s="65"/>
      <c r="D109" s="66"/>
      <c r="E109" s="67"/>
      <c r="F109" s="65"/>
      <c r="G109" s="65"/>
      <c r="H109" s="65"/>
      <c r="I109" s="67"/>
      <c r="J109" s="65"/>
    </row>
    <row r="110" spans="1:10" ht="11.1" customHeight="1" x14ac:dyDescent="0.2">
      <c r="A110" s="63"/>
      <c r="C110" s="65"/>
      <c r="D110" s="66"/>
      <c r="E110" s="67"/>
      <c r="F110" s="65"/>
      <c r="G110" s="65"/>
      <c r="H110" s="65"/>
      <c r="I110" s="67"/>
      <c r="J110" s="65"/>
    </row>
    <row r="111" spans="1:10" ht="11.1" customHeight="1" x14ac:dyDescent="0.2">
      <c r="A111" s="63"/>
      <c r="C111" s="65"/>
      <c r="D111" s="65"/>
      <c r="E111" s="67"/>
      <c r="F111" s="65"/>
      <c r="G111" s="65"/>
      <c r="H111" s="65"/>
      <c r="I111" s="67"/>
      <c r="J111" s="65"/>
    </row>
    <row r="112" spans="1:10" ht="11.1" customHeight="1" x14ac:dyDescent="0.2">
      <c r="A112" s="63"/>
      <c r="C112" s="65"/>
      <c r="D112" s="66"/>
      <c r="E112" s="67"/>
      <c r="F112" s="65"/>
      <c r="G112" s="65"/>
      <c r="H112" s="65"/>
      <c r="I112" s="67"/>
      <c r="J112" s="65"/>
    </row>
    <row r="113" spans="1:10" ht="11.1" customHeight="1" x14ac:dyDescent="0.2">
      <c r="A113" s="63"/>
      <c r="C113" s="65"/>
      <c r="D113" s="65"/>
      <c r="E113" s="67"/>
      <c r="F113" s="65"/>
      <c r="G113" s="65"/>
      <c r="H113" s="65"/>
      <c r="I113" s="67"/>
      <c r="J113" s="65"/>
    </row>
    <row r="114" spans="1:10" ht="11.1" customHeight="1" x14ac:dyDescent="0.2">
      <c r="A114" s="63"/>
      <c r="C114" s="65"/>
      <c r="D114" s="65"/>
      <c r="E114" s="67"/>
      <c r="F114" s="65"/>
      <c r="G114" s="65"/>
      <c r="H114" s="65"/>
      <c r="I114" s="67"/>
      <c r="J114" s="65"/>
    </row>
    <row r="115" spans="1:10" ht="11.1" customHeight="1" x14ac:dyDescent="0.2">
      <c r="A115" s="63"/>
      <c r="C115" s="65"/>
      <c r="D115" s="65"/>
      <c r="E115" s="67"/>
      <c r="F115" s="65"/>
      <c r="G115" s="65"/>
      <c r="H115" s="65"/>
      <c r="I115" s="67"/>
      <c r="J115" s="65"/>
    </row>
    <row r="116" spans="1:10" ht="11.1" customHeight="1" x14ac:dyDescent="0.2">
      <c r="A116" s="63"/>
      <c r="C116" s="65"/>
      <c r="D116" s="65"/>
      <c r="E116" s="67"/>
      <c r="F116" s="65"/>
      <c r="G116" s="65"/>
      <c r="H116" s="65"/>
      <c r="I116" s="67"/>
      <c r="J116" s="65"/>
    </row>
    <row r="117" spans="1:10" ht="11.1" customHeight="1" x14ac:dyDescent="0.2"/>
    <row r="118" spans="1:10" ht="11.1" customHeight="1" x14ac:dyDescent="0.2">
      <c r="A118" s="63"/>
      <c r="C118" s="65"/>
      <c r="D118" s="65"/>
      <c r="E118" s="67"/>
      <c r="F118" s="65"/>
      <c r="G118" s="65"/>
      <c r="H118" s="65"/>
      <c r="I118" s="67"/>
      <c r="J118" s="65"/>
    </row>
    <row r="119" spans="1:10" ht="11.1" customHeight="1" x14ac:dyDescent="0.2">
      <c r="A119" s="63"/>
      <c r="C119" s="65"/>
      <c r="D119" s="66"/>
      <c r="E119" s="67"/>
      <c r="F119" s="65"/>
      <c r="G119" s="65"/>
      <c r="H119" s="65"/>
      <c r="I119" s="67"/>
      <c r="J119" s="65"/>
    </row>
    <row r="120" spans="1:10" ht="11.1" customHeight="1" x14ac:dyDescent="0.2">
      <c r="A120" s="63"/>
      <c r="C120" s="65"/>
      <c r="D120" s="66"/>
      <c r="E120" s="67"/>
      <c r="F120" s="65"/>
      <c r="G120" s="65"/>
      <c r="H120" s="65"/>
      <c r="I120" s="67"/>
      <c r="J120" s="65"/>
    </row>
    <row r="121" spans="1:10" ht="11.1" customHeight="1" x14ac:dyDescent="0.2">
      <c r="A121" s="63"/>
      <c r="C121" s="65"/>
      <c r="D121" s="66"/>
      <c r="E121" s="67"/>
      <c r="F121" s="65"/>
      <c r="G121" s="65"/>
      <c r="H121" s="65"/>
      <c r="I121" s="67"/>
      <c r="J121" s="65"/>
    </row>
    <row r="122" spans="1:10" ht="11.1" customHeight="1" x14ac:dyDescent="0.2">
      <c r="A122" s="63"/>
      <c r="C122" s="65"/>
      <c r="D122" s="65"/>
      <c r="E122" s="67"/>
      <c r="F122" s="65"/>
      <c r="G122" s="65"/>
      <c r="H122" s="65"/>
      <c r="I122" s="67"/>
      <c r="J122" s="65"/>
    </row>
    <row r="123" spans="1:10" ht="11.1" customHeight="1" x14ac:dyDescent="0.2">
      <c r="A123" s="63"/>
      <c r="C123" s="65"/>
      <c r="D123" s="66"/>
      <c r="E123" s="67"/>
      <c r="F123" s="65"/>
      <c r="G123" s="65"/>
      <c r="H123" s="65"/>
      <c r="I123" s="67"/>
      <c r="J123" s="65"/>
    </row>
    <row r="124" spans="1:10" ht="11.1" customHeight="1" x14ac:dyDescent="0.2">
      <c r="A124" s="63"/>
      <c r="C124" s="65"/>
      <c r="D124" s="65"/>
      <c r="E124" s="67"/>
      <c r="F124" s="65"/>
      <c r="G124" s="65"/>
      <c r="H124" s="65"/>
      <c r="I124" s="67"/>
      <c r="J124" s="65"/>
    </row>
    <row r="125" spans="1:10" ht="11.1" customHeight="1" x14ac:dyDescent="0.2">
      <c r="A125" s="63"/>
      <c r="C125" s="65"/>
      <c r="D125" s="65"/>
      <c r="E125" s="67"/>
      <c r="F125" s="65"/>
      <c r="G125" s="65"/>
      <c r="H125" s="65"/>
      <c r="I125" s="67"/>
      <c r="J125" s="65"/>
    </row>
    <row r="126" spans="1:10" ht="11.1" customHeight="1" x14ac:dyDescent="0.2">
      <c r="A126" s="63"/>
      <c r="C126" s="65"/>
      <c r="D126" s="65"/>
      <c r="E126" s="67"/>
      <c r="F126" s="65"/>
      <c r="G126" s="65"/>
      <c r="H126" s="65"/>
      <c r="I126" s="67"/>
      <c r="J126" s="65"/>
    </row>
    <row r="127" spans="1:10" ht="11.1" customHeight="1" x14ac:dyDescent="0.2">
      <c r="A127" s="63"/>
      <c r="C127" s="65"/>
      <c r="D127" s="65"/>
      <c r="E127" s="67"/>
      <c r="F127" s="65"/>
      <c r="G127" s="65"/>
      <c r="H127" s="65"/>
      <c r="I127" s="67"/>
      <c r="J127" s="65"/>
    </row>
    <row r="128" spans="1:10" ht="11.1" customHeight="1" x14ac:dyDescent="0.2"/>
    <row r="129" spans="1:10" ht="11.1" customHeight="1" x14ac:dyDescent="0.2">
      <c r="A129" s="63"/>
      <c r="C129" s="65"/>
      <c r="D129" s="65"/>
      <c r="E129" s="67"/>
      <c r="F129" s="65"/>
      <c r="G129" s="65"/>
      <c r="H129" s="65"/>
      <c r="I129" s="67"/>
      <c r="J129" s="65"/>
    </row>
    <row r="130" spans="1:10" ht="11.1" customHeight="1" x14ac:dyDescent="0.2">
      <c r="A130" s="63"/>
      <c r="C130" s="65"/>
      <c r="D130" s="66"/>
      <c r="E130" s="67"/>
      <c r="F130" s="65"/>
      <c r="G130" s="65"/>
      <c r="H130" s="65"/>
      <c r="I130" s="67"/>
      <c r="J130" s="65"/>
    </row>
    <row r="131" spans="1:10" ht="11.1" customHeight="1" x14ac:dyDescent="0.2">
      <c r="A131" s="63"/>
      <c r="C131" s="65"/>
      <c r="D131" s="66"/>
      <c r="E131" s="67"/>
      <c r="F131" s="65"/>
      <c r="G131" s="65"/>
      <c r="H131" s="65"/>
      <c r="I131" s="67"/>
      <c r="J131" s="65"/>
    </row>
    <row r="132" spans="1:10" ht="11.1" customHeight="1" x14ac:dyDescent="0.2">
      <c r="A132" s="63"/>
      <c r="C132" s="65"/>
      <c r="D132" s="66"/>
      <c r="E132" s="67"/>
      <c r="F132" s="65"/>
      <c r="G132" s="65"/>
      <c r="H132" s="65"/>
      <c r="I132" s="67"/>
      <c r="J132" s="65"/>
    </row>
    <row r="133" spans="1:10" ht="11.1" customHeight="1" x14ac:dyDescent="0.2">
      <c r="A133" s="63"/>
      <c r="C133" s="65"/>
      <c r="D133" s="65"/>
      <c r="E133" s="67"/>
      <c r="F133" s="65"/>
      <c r="G133" s="65"/>
      <c r="H133" s="65"/>
      <c r="I133" s="67"/>
      <c r="J133" s="65"/>
    </row>
    <row r="134" spans="1:10" ht="11.1" customHeight="1" x14ac:dyDescent="0.2">
      <c r="A134" s="63"/>
      <c r="C134" s="65"/>
      <c r="D134" s="66"/>
      <c r="E134" s="67"/>
      <c r="F134" s="65"/>
      <c r="G134" s="65"/>
      <c r="H134" s="65"/>
      <c r="I134" s="67"/>
      <c r="J134" s="65"/>
    </row>
    <row r="135" spans="1:10" ht="11.1" customHeight="1" x14ac:dyDescent="0.2">
      <c r="A135" s="63"/>
      <c r="C135" s="65"/>
      <c r="D135" s="65"/>
      <c r="E135" s="67"/>
      <c r="F135" s="65"/>
      <c r="G135" s="65"/>
      <c r="H135" s="65"/>
      <c r="I135" s="67"/>
      <c r="J135" s="65"/>
    </row>
    <row r="136" spans="1:10" ht="11.1" customHeight="1" x14ac:dyDescent="0.2">
      <c r="A136" s="63"/>
      <c r="C136" s="65"/>
      <c r="D136" s="65"/>
      <c r="E136" s="67"/>
      <c r="F136" s="65"/>
      <c r="G136" s="65"/>
      <c r="H136" s="65"/>
      <c r="I136" s="67"/>
      <c r="J136" s="65"/>
    </row>
    <row r="137" spans="1:10" ht="11.1" customHeight="1" x14ac:dyDescent="0.2">
      <c r="A137" s="63"/>
      <c r="C137" s="65"/>
      <c r="D137" s="65"/>
      <c r="E137" s="67"/>
      <c r="F137" s="65"/>
      <c r="G137" s="65"/>
      <c r="H137" s="65"/>
      <c r="I137" s="67"/>
      <c r="J137" s="65"/>
    </row>
    <row r="138" spans="1:10" ht="11.1" customHeight="1" x14ac:dyDescent="0.2">
      <c r="A138" s="63"/>
      <c r="C138" s="65"/>
      <c r="D138" s="65"/>
      <c r="E138" s="67"/>
      <c r="F138" s="65"/>
      <c r="G138" s="65"/>
      <c r="H138" s="65"/>
      <c r="I138" s="67"/>
      <c r="J138" s="65"/>
    </row>
    <row r="139" spans="1:10" ht="11.1" customHeight="1" x14ac:dyDescent="0.2"/>
    <row r="140" spans="1:10" ht="11.1" customHeight="1" x14ac:dyDescent="0.2">
      <c r="A140" s="63"/>
      <c r="C140" s="65"/>
      <c r="D140" s="65"/>
      <c r="E140" s="67"/>
      <c r="F140" s="65"/>
      <c r="G140" s="65"/>
      <c r="H140" s="65"/>
      <c r="I140" s="67"/>
      <c r="J140" s="65"/>
    </row>
    <row r="141" spans="1:10" ht="11.1" customHeight="1" x14ac:dyDescent="0.2">
      <c r="A141" s="63"/>
      <c r="C141" s="65"/>
      <c r="D141" s="66"/>
      <c r="E141" s="67"/>
      <c r="F141" s="65"/>
      <c r="G141" s="65"/>
      <c r="H141" s="65"/>
      <c r="I141" s="67"/>
      <c r="J141" s="65"/>
    </row>
    <row r="142" spans="1:10" ht="11.1" customHeight="1" x14ac:dyDescent="0.2">
      <c r="A142" s="63"/>
      <c r="C142" s="65"/>
      <c r="D142" s="66"/>
      <c r="E142" s="67"/>
      <c r="F142" s="65"/>
      <c r="G142" s="65"/>
      <c r="H142" s="65"/>
      <c r="I142" s="67"/>
      <c r="J142" s="65"/>
    </row>
    <row r="143" spans="1:10" ht="11.1" customHeight="1" x14ac:dyDescent="0.2">
      <c r="A143" s="63"/>
      <c r="C143" s="65"/>
      <c r="D143" s="66"/>
      <c r="E143" s="67"/>
      <c r="F143" s="65"/>
      <c r="G143" s="65"/>
      <c r="H143" s="65"/>
      <c r="I143" s="67"/>
      <c r="J143" s="65"/>
    </row>
    <row r="144" spans="1:10" ht="11.1" customHeight="1" x14ac:dyDescent="0.2">
      <c r="A144" s="63"/>
      <c r="C144" s="65"/>
      <c r="D144" s="65"/>
      <c r="E144" s="67"/>
      <c r="F144" s="65"/>
      <c r="G144" s="65"/>
      <c r="H144" s="65"/>
      <c r="I144" s="67"/>
      <c r="J144" s="65"/>
    </row>
    <row r="145" spans="1:10" ht="11.1" customHeight="1" x14ac:dyDescent="0.2">
      <c r="A145" s="63"/>
      <c r="C145" s="65"/>
      <c r="D145" s="66"/>
      <c r="E145" s="67"/>
      <c r="F145" s="65"/>
      <c r="G145" s="65"/>
      <c r="H145" s="65"/>
      <c r="I145" s="67"/>
      <c r="J145" s="65"/>
    </row>
    <row r="146" spans="1:10" ht="11.1" customHeight="1" x14ac:dyDescent="0.2">
      <c r="A146" s="63"/>
      <c r="C146" s="65"/>
      <c r="D146" s="65"/>
      <c r="E146" s="67"/>
      <c r="F146" s="65"/>
      <c r="G146" s="65"/>
      <c r="H146" s="65"/>
      <c r="I146" s="67"/>
      <c r="J146" s="65"/>
    </row>
    <row r="147" spans="1:10" ht="11.1" customHeight="1" x14ac:dyDescent="0.2">
      <c r="A147" s="63"/>
      <c r="C147" s="65"/>
      <c r="D147" s="65"/>
      <c r="E147" s="67"/>
      <c r="F147" s="65"/>
      <c r="G147" s="65"/>
      <c r="H147" s="65"/>
      <c r="I147" s="67"/>
      <c r="J147" s="65"/>
    </row>
    <row r="148" spans="1:10" ht="11.1" customHeight="1" x14ac:dyDescent="0.2">
      <c r="A148" s="63"/>
      <c r="C148" s="65"/>
      <c r="D148" s="65"/>
      <c r="E148" s="67"/>
      <c r="F148" s="65"/>
      <c r="G148" s="65"/>
      <c r="H148" s="65"/>
      <c r="I148" s="67"/>
      <c r="J148" s="65"/>
    </row>
    <row r="149" spans="1:10" ht="11.1" customHeight="1" x14ac:dyDescent="0.2">
      <c r="A149" s="63"/>
      <c r="C149" s="65"/>
      <c r="D149" s="65"/>
      <c r="E149" s="67"/>
      <c r="F149" s="65"/>
      <c r="G149" s="65"/>
      <c r="H149" s="65"/>
      <c r="I149" s="67"/>
      <c r="J149" s="65"/>
    </row>
    <row r="150" spans="1:10" ht="11.1" customHeight="1" x14ac:dyDescent="0.2"/>
    <row r="151" spans="1:10" ht="11.1" customHeight="1" x14ac:dyDescent="0.2">
      <c r="A151" s="63"/>
      <c r="C151" s="65"/>
      <c r="D151" s="65"/>
      <c r="E151" s="67"/>
      <c r="F151" s="65"/>
      <c r="G151" s="65"/>
      <c r="H151" s="65"/>
      <c r="I151" s="67"/>
      <c r="J151" s="65"/>
    </row>
    <row r="152" spans="1:10" ht="11.1" customHeight="1" x14ac:dyDescent="0.2">
      <c r="A152" s="63"/>
      <c r="C152" s="65"/>
      <c r="D152" s="66"/>
      <c r="E152" s="67"/>
      <c r="F152" s="65"/>
      <c r="G152" s="65"/>
      <c r="H152" s="65"/>
      <c r="I152" s="67"/>
      <c r="J152" s="65"/>
    </row>
    <row r="153" spans="1:10" ht="11.1" customHeight="1" x14ac:dyDescent="0.2">
      <c r="A153" s="63"/>
      <c r="C153" s="65"/>
      <c r="D153" s="66"/>
      <c r="E153" s="67"/>
      <c r="F153" s="65"/>
      <c r="G153" s="65"/>
      <c r="H153" s="65"/>
      <c r="I153" s="67"/>
      <c r="J153" s="65"/>
    </row>
    <row r="154" spans="1:10" ht="11.1" customHeight="1" x14ac:dyDescent="0.2">
      <c r="A154" s="63"/>
      <c r="C154" s="65"/>
      <c r="D154" s="66"/>
      <c r="E154" s="67"/>
      <c r="F154" s="65"/>
      <c r="G154" s="65"/>
      <c r="H154" s="65"/>
      <c r="I154" s="67"/>
      <c r="J154" s="65"/>
    </row>
    <row r="155" spans="1:10" ht="11.1" customHeight="1" x14ac:dyDescent="0.2">
      <c r="A155" s="63"/>
      <c r="C155" s="65"/>
      <c r="D155" s="65"/>
      <c r="E155" s="67"/>
      <c r="F155" s="65"/>
      <c r="G155" s="65"/>
      <c r="H155" s="65"/>
      <c r="I155" s="67"/>
      <c r="J155" s="65"/>
    </row>
    <row r="156" spans="1:10" ht="11.1" customHeight="1" x14ac:dyDescent="0.2">
      <c r="A156" s="63"/>
      <c r="C156" s="65"/>
      <c r="D156" s="66"/>
      <c r="E156" s="67"/>
      <c r="F156" s="65"/>
      <c r="G156" s="65"/>
      <c r="H156" s="65"/>
      <c r="I156" s="67"/>
      <c r="J156" s="65"/>
    </row>
    <row r="157" spans="1:10" ht="11.1" customHeight="1" x14ac:dyDescent="0.2">
      <c r="A157" s="63"/>
      <c r="C157" s="65"/>
      <c r="D157" s="65"/>
      <c r="E157" s="67"/>
      <c r="F157" s="65"/>
      <c r="G157" s="65"/>
      <c r="H157" s="65"/>
      <c r="I157" s="67"/>
      <c r="J157" s="65"/>
    </row>
    <row r="158" spans="1:10" ht="11.1" customHeight="1" x14ac:dyDescent="0.2">
      <c r="A158" s="63"/>
      <c r="C158" s="65"/>
      <c r="D158" s="65"/>
      <c r="E158" s="67"/>
      <c r="F158" s="65"/>
      <c r="G158" s="65"/>
      <c r="H158" s="65"/>
      <c r="I158" s="67"/>
      <c r="J158" s="65"/>
    </row>
    <row r="159" spans="1:10" ht="11.1" customHeight="1" x14ac:dyDescent="0.2">
      <c r="A159" s="63"/>
      <c r="C159" s="65"/>
      <c r="D159" s="65"/>
      <c r="E159" s="67"/>
      <c r="F159" s="65"/>
      <c r="G159" s="65"/>
      <c r="H159" s="65"/>
      <c r="I159" s="67"/>
      <c r="J159" s="65"/>
    </row>
    <row r="160" spans="1:10" ht="11.1" customHeight="1" x14ac:dyDescent="0.2">
      <c r="A160" s="63"/>
      <c r="C160" s="65"/>
      <c r="D160" s="65"/>
      <c r="E160" s="67"/>
      <c r="F160" s="65"/>
      <c r="G160" s="65"/>
      <c r="H160" s="65"/>
      <c r="I160" s="67"/>
      <c r="J160" s="65"/>
    </row>
    <row r="161" spans="1:10" ht="11.1" customHeight="1" x14ac:dyDescent="0.2"/>
    <row r="162" spans="1:10" ht="11.1" customHeight="1" x14ac:dyDescent="0.2">
      <c r="A162" s="63"/>
      <c r="C162" s="65"/>
      <c r="D162" s="65"/>
      <c r="E162" s="67"/>
      <c r="F162" s="65"/>
      <c r="G162" s="65"/>
      <c r="H162" s="65"/>
      <c r="I162" s="67"/>
      <c r="J162" s="65"/>
    </row>
    <row r="163" spans="1:10" ht="11.1" customHeight="1" x14ac:dyDescent="0.2">
      <c r="A163" s="63"/>
      <c r="C163" s="65"/>
      <c r="D163" s="66"/>
      <c r="E163" s="67"/>
      <c r="F163" s="65"/>
      <c r="G163" s="65"/>
      <c r="H163" s="65"/>
      <c r="I163" s="67"/>
      <c r="J163" s="65"/>
    </row>
    <row r="164" spans="1:10" ht="11.1" customHeight="1" x14ac:dyDescent="0.2">
      <c r="A164" s="63"/>
      <c r="C164" s="65"/>
      <c r="D164" s="66"/>
      <c r="E164" s="67"/>
      <c r="F164" s="65"/>
      <c r="G164" s="65"/>
      <c r="H164" s="65"/>
      <c r="I164" s="67"/>
      <c r="J164" s="65"/>
    </row>
    <row r="165" spans="1:10" ht="11.1" customHeight="1" x14ac:dyDescent="0.2">
      <c r="A165" s="63"/>
      <c r="C165" s="65"/>
      <c r="D165" s="66"/>
      <c r="E165" s="67"/>
      <c r="F165" s="65"/>
      <c r="G165" s="65"/>
      <c r="H165" s="65"/>
      <c r="I165" s="67"/>
      <c r="J165" s="65"/>
    </row>
    <row r="166" spans="1:10" ht="11.1" customHeight="1" x14ac:dyDescent="0.2">
      <c r="A166" s="63"/>
      <c r="C166" s="65"/>
      <c r="D166" s="65"/>
      <c r="E166" s="67"/>
      <c r="F166" s="65"/>
      <c r="G166" s="65"/>
      <c r="H166" s="65"/>
      <c r="I166" s="67"/>
      <c r="J166" s="65"/>
    </row>
    <row r="167" spans="1:10" ht="11.1" customHeight="1" x14ac:dyDescent="0.2">
      <c r="A167" s="63"/>
      <c r="C167" s="65"/>
      <c r="D167" s="66"/>
      <c r="E167" s="67"/>
      <c r="F167" s="65"/>
      <c r="G167" s="65"/>
      <c r="H167" s="65"/>
      <c r="I167" s="67"/>
      <c r="J167" s="65"/>
    </row>
    <row r="168" spans="1:10" ht="11.1" customHeight="1" x14ac:dyDescent="0.2">
      <c r="A168" s="63"/>
      <c r="C168" s="65"/>
      <c r="D168" s="65"/>
      <c r="E168" s="67"/>
      <c r="F168" s="65"/>
      <c r="G168" s="65"/>
      <c r="H168" s="65"/>
      <c r="I168" s="67"/>
      <c r="J168" s="65"/>
    </row>
    <row r="169" spans="1:10" ht="11.1" customHeight="1" x14ac:dyDescent="0.2">
      <c r="A169" s="63"/>
      <c r="C169" s="65"/>
      <c r="D169" s="65"/>
      <c r="E169" s="67"/>
      <c r="F169" s="65"/>
      <c r="G169" s="65"/>
      <c r="H169" s="65"/>
      <c r="I169" s="67"/>
      <c r="J169" s="65"/>
    </row>
    <row r="170" spans="1:10" ht="11.1" customHeight="1" x14ac:dyDescent="0.2">
      <c r="A170" s="63"/>
      <c r="C170" s="65"/>
      <c r="D170" s="65"/>
      <c r="E170" s="67"/>
      <c r="F170" s="65"/>
      <c r="G170" s="65"/>
      <c r="H170" s="65"/>
      <c r="I170" s="67"/>
      <c r="J170" s="65"/>
    </row>
    <row r="171" spans="1:10" ht="11.1" customHeight="1" x14ac:dyDescent="0.2">
      <c r="A171" s="63"/>
      <c r="C171" s="65"/>
      <c r="D171" s="65"/>
      <c r="E171" s="67"/>
      <c r="F171" s="65"/>
      <c r="G171" s="65"/>
      <c r="H171" s="65"/>
      <c r="I171" s="67"/>
      <c r="J171" s="65"/>
    </row>
    <row r="172" spans="1:10" ht="11.1" customHeight="1" x14ac:dyDescent="0.2"/>
    <row r="173" spans="1:10" ht="11.1" customHeight="1" x14ac:dyDescent="0.2">
      <c r="A173" s="63"/>
      <c r="C173" s="65"/>
      <c r="D173" s="65"/>
      <c r="E173" s="67"/>
      <c r="F173" s="65"/>
      <c r="G173" s="65"/>
      <c r="H173" s="65"/>
      <c r="I173" s="67"/>
      <c r="J173" s="65"/>
    </row>
    <row r="174" spans="1:10" ht="11.1" customHeight="1" x14ac:dyDescent="0.2">
      <c r="A174" s="63"/>
      <c r="C174" s="65"/>
      <c r="D174" s="66"/>
      <c r="E174" s="67"/>
      <c r="F174" s="65"/>
      <c r="G174" s="65"/>
      <c r="H174" s="65"/>
      <c r="I174" s="67"/>
      <c r="J174" s="65"/>
    </row>
    <row r="175" spans="1:10" ht="11.1" customHeight="1" x14ac:dyDescent="0.2">
      <c r="A175" s="63"/>
      <c r="C175" s="65"/>
      <c r="D175" s="66"/>
      <c r="E175" s="67"/>
      <c r="F175" s="65"/>
      <c r="G175" s="65"/>
      <c r="H175" s="65"/>
      <c r="I175" s="67"/>
      <c r="J175" s="65"/>
    </row>
    <row r="176" spans="1:10" ht="11.1" customHeight="1" x14ac:dyDescent="0.2">
      <c r="A176" s="63"/>
      <c r="C176" s="65"/>
      <c r="D176" s="66"/>
      <c r="E176" s="67"/>
      <c r="F176" s="65"/>
      <c r="G176" s="65"/>
      <c r="H176" s="65"/>
      <c r="I176" s="67"/>
      <c r="J176" s="65"/>
    </row>
    <row r="177" spans="1:10" ht="11.1" customHeight="1" x14ac:dyDescent="0.2">
      <c r="A177" s="63"/>
      <c r="C177" s="65"/>
      <c r="D177" s="65"/>
      <c r="E177" s="67"/>
      <c r="F177" s="65"/>
      <c r="G177" s="65"/>
      <c r="H177" s="65"/>
      <c r="I177" s="67"/>
      <c r="J177" s="65"/>
    </row>
    <row r="178" spans="1:10" ht="11.1" customHeight="1" x14ac:dyDescent="0.2">
      <c r="A178" s="63"/>
      <c r="C178" s="65"/>
      <c r="D178" s="66"/>
      <c r="E178" s="67"/>
      <c r="F178" s="65"/>
      <c r="G178" s="65"/>
      <c r="H178" s="65"/>
      <c r="I178" s="67"/>
      <c r="J178" s="65"/>
    </row>
    <row r="179" spans="1:10" ht="11.1" customHeight="1" x14ac:dyDescent="0.2">
      <c r="A179" s="63"/>
      <c r="C179" s="65"/>
      <c r="D179" s="65"/>
      <c r="E179" s="67"/>
      <c r="F179" s="65"/>
      <c r="G179" s="65"/>
      <c r="H179" s="65"/>
      <c r="I179" s="67"/>
      <c r="J179" s="65"/>
    </row>
    <row r="180" spans="1:10" ht="11.1" customHeight="1" x14ac:dyDescent="0.2">
      <c r="A180" s="63"/>
      <c r="C180" s="65"/>
      <c r="D180" s="65"/>
      <c r="E180" s="67"/>
      <c r="F180" s="65"/>
      <c r="G180" s="65"/>
      <c r="H180" s="65"/>
      <c r="I180" s="67"/>
      <c r="J180" s="65"/>
    </row>
    <row r="181" spans="1:10" ht="11.1" customHeight="1" x14ac:dyDescent="0.2">
      <c r="A181" s="63"/>
      <c r="C181" s="65"/>
      <c r="D181" s="65"/>
      <c r="E181" s="67"/>
      <c r="F181" s="65"/>
      <c r="G181" s="65"/>
      <c r="H181" s="65"/>
      <c r="I181" s="67"/>
      <c r="J181" s="65"/>
    </row>
    <row r="182" spans="1:10" ht="11.1" customHeight="1" x14ac:dyDescent="0.2">
      <c r="A182" s="63"/>
      <c r="C182" s="65"/>
      <c r="D182" s="65"/>
      <c r="E182" s="67"/>
      <c r="F182" s="65"/>
      <c r="G182" s="65"/>
      <c r="H182" s="65"/>
      <c r="I182" s="67"/>
      <c r="J182" s="65"/>
    </row>
    <row r="183" spans="1:10" ht="11.1" customHeight="1" x14ac:dyDescent="0.2"/>
    <row r="184" spans="1:10" ht="11.1" customHeight="1" x14ac:dyDescent="0.2">
      <c r="A184" s="63"/>
      <c r="C184" s="65"/>
      <c r="D184" s="65"/>
      <c r="E184" s="67"/>
      <c r="F184" s="65"/>
      <c r="G184" s="65"/>
      <c r="H184" s="65"/>
      <c r="I184" s="67"/>
      <c r="J184" s="65"/>
    </row>
    <row r="185" spans="1:10" ht="11.1" customHeight="1" x14ac:dyDescent="0.2">
      <c r="A185" s="63"/>
      <c r="C185" s="65"/>
      <c r="D185" s="66"/>
      <c r="E185" s="67"/>
      <c r="F185" s="65"/>
      <c r="G185" s="65"/>
      <c r="H185" s="65"/>
      <c r="I185" s="67"/>
      <c r="J185" s="65"/>
    </row>
    <row r="186" spans="1:10" ht="11.1" customHeight="1" x14ac:dyDescent="0.2">
      <c r="A186" s="63"/>
      <c r="C186" s="65"/>
      <c r="D186" s="66"/>
      <c r="E186" s="67"/>
      <c r="F186" s="65"/>
      <c r="G186" s="65"/>
      <c r="H186" s="65"/>
      <c r="I186" s="67"/>
      <c r="J186" s="65"/>
    </row>
    <row r="187" spans="1:10" ht="11.1" customHeight="1" x14ac:dyDescent="0.2">
      <c r="A187" s="63"/>
      <c r="C187" s="65"/>
      <c r="D187" s="66"/>
      <c r="E187" s="67"/>
      <c r="F187" s="65"/>
      <c r="G187" s="65"/>
      <c r="H187" s="65"/>
      <c r="I187" s="67"/>
      <c r="J187" s="65"/>
    </row>
    <row r="188" spans="1:10" ht="11.1" customHeight="1" x14ac:dyDescent="0.2">
      <c r="A188" s="63"/>
      <c r="C188" s="65"/>
      <c r="D188" s="65"/>
      <c r="E188" s="67"/>
      <c r="F188" s="65"/>
      <c r="G188" s="65"/>
      <c r="H188" s="65"/>
      <c r="I188" s="67"/>
      <c r="J188" s="65"/>
    </row>
    <row r="189" spans="1:10" ht="11.1" customHeight="1" x14ac:dyDescent="0.2">
      <c r="A189" s="63"/>
      <c r="C189" s="65"/>
      <c r="D189" s="66"/>
      <c r="E189" s="67"/>
      <c r="F189" s="65"/>
      <c r="G189" s="65"/>
      <c r="H189" s="65"/>
      <c r="I189" s="67"/>
      <c r="J189" s="65"/>
    </row>
    <row r="190" spans="1:10" ht="11.1" customHeight="1" x14ac:dyDescent="0.2">
      <c r="A190" s="63"/>
      <c r="C190" s="65"/>
      <c r="D190" s="65"/>
      <c r="E190" s="67"/>
      <c r="F190" s="65"/>
      <c r="G190" s="65"/>
      <c r="H190" s="65"/>
      <c r="I190" s="67"/>
      <c r="J190" s="65"/>
    </row>
    <row r="191" spans="1:10" ht="11.1" customHeight="1" x14ac:dyDescent="0.2">
      <c r="A191" s="63"/>
      <c r="C191" s="65"/>
      <c r="D191" s="65"/>
      <c r="E191" s="67"/>
      <c r="F191" s="65"/>
      <c r="G191" s="65"/>
      <c r="H191" s="65"/>
      <c r="I191" s="67"/>
      <c r="J191" s="65"/>
    </row>
    <row r="192" spans="1:10" ht="11.1" customHeight="1" x14ac:dyDescent="0.2">
      <c r="A192" s="63"/>
      <c r="C192" s="65"/>
      <c r="D192" s="65"/>
      <c r="E192" s="67"/>
      <c r="F192" s="65"/>
      <c r="G192" s="65"/>
      <c r="H192" s="65"/>
      <c r="I192" s="67"/>
      <c r="J192" s="65"/>
    </row>
    <row r="193" spans="1:10" ht="11.1" customHeight="1" x14ac:dyDescent="0.2">
      <c r="A193" s="63"/>
      <c r="C193" s="65"/>
      <c r="D193" s="65"/>
      <c r="E193" s="67"/>
      <c r="F193" s="65"/>
      <c r="G193" s="65"/>
      <c r="H193" s="65"/>
      <c r="I193" s="67"/>
      <c r="J193" s="65"/>
    </row>
    <row r="194" spans="1:10" ht="11.1" customHeight="1" x14ac:dyDescent="0.2"/>
    <row r="195" spans="1:10" ht="11.1" customHeight="1" x14ac:dyDescent="0.2">
      <c r="A195" s="63"/>
      <c r="C195" s="65"/>
      <c r="D195" s="65"/>
      <c r="E195" s="67"/>
      <c r="F195" s="65"/>
      <c r="G195" s="65"/>
      <c r="H195" s="65"/>
      <c r="I195" s="67"/>
      <c r="J195" s="65"/>
    </row>
    <row r="196" spans="1:10" ht="11.1" customHeight="1" x14ac:dyDescent="0.2">
      <c r="A196" s="63"/>
      <c r="C196" s="65"/>
      <c r="D196" s="66"/>
      <c r="E196" s="67"/>
      <c r="F196" s="65"/>
      <c r="G196" s="65"/>
      <c r="H196" s="65"/>
      <c r="I196" s="67"/>
      <c r="J196" s="65"/>
    </row>
    <row r="197" spans="1:10" ht="11.1" customHeight="1" x14ac:dyDescent="0.2">
      <c r="A197" s="63"/>
      <c r="C197" s="65"/>
      <c r="D197" s="66"/>
      <c r="E197" s="67"/>
      <c r="F197" s="65"/>
      <c r="G197" s="65"/>
      <c r="H197" s="65"/>
      <c r="I197" s="67"/>
      <c r="J197" s="65"/>
    </row>
    <row r="198" spans="1:10" ht="11.1" customHeight="1" x14ac:dyDescent="0.2">
      <c r="A198" s="63"/>
      <c r="C198" s="65"/>
      <c r="D198" s="66"/>
      <c r="E198" s="67"/>
      <c r="F198" s="65"/>
      <c r="G198" s="65"/>
      <c r="H198" s="65"/>
      <c r="I198" s="67"/>
      <c r="J198" s="65"/>
    </row>
    <row r="199" spans="1:10" ht="11.1" customHeight="1" x14ac:dyDescent="0.2">
      <c r="A199" s="63"/>
      <c r="C199" s="65"/>
      <c r="D199" s="65"/>
      <c r="E199" s="67"/>
      <c r="F199" s="65"/>
      <c r="G199" s="65"/>
      <c r="H199" s="65"/>
      <c r="I199" s="67"/>
      <c r="J199" s="65"/>
    </row>
    <row r="200" spans="1:10" ht="11.1" customHeight="1" x14ac:dyDescent="0.2">
      <c r="A200" s="63"/>
      <c r="C200" s="65"/>
      <c r="D200" s="66"/>
      <c r="E200" s="67"/>
      <c r="F200" s="65"/>
      <c r="G200" s="65"/>
      <c r="H200" s="65"/>
      <c r="I200" s="67"/>
      <c r="J200" s="65"/>
    </row>
    <row r="201" spans="1:10" ht="11.1" customHeight="1" x14ac:dyDescent="0.2">
      <c r="A201" s="63"/>
      <c r="C201" s="65"/>
      <c r="D201" s="65"/>
      <c r="E201" s="67"/>
      <c r="F201" s="65"/>
      <c r="G201" s="65"/>
      <c r="H201" s="65"/>
      <c r="I201" s="67"/>
      <c r="J201" s="65"/>
    </row>
    <row r="202" spans="1:10" ht="11.1" customHeight="1" x14ac:dyDescent="0.2">
      <c r="A202" s="63"/>
      <c r="C202" s="65"/>
      <c r="D202" s="65"/>
      <c r="E202" s="67"/>
      <c r="F202" s="65"/>
      <c r="G202" s="65"/>
      <c r="H202" s="65"/>
      <c r="I202" s="67"/>
      <c r="J202" s="65"/>
    </row>
    <row r="203" spans="1:10" ht="11.1" customHeight="1" x14ac:dyDescent="0.2">
      <c r="A203" s="63"/>
      <c r="C203" s="65"/>
      <c r="D203" s="65"/>
      <c r="E203" s="67"/>
      <c r="F203" s="65"/>
      <c r="G203" s="65"/>
      <c r="H203" s="65"/>
      <c r="I203" s="67"/>
      <c r="J203" s="65"/>
    </row>
    <row r="204" spans="1:10" ht="11.1" customHeight="1" x14ac:dyDescent="0.2">
      <c r="A204" s="63"/>
      <c r="C204" s="65"/>
      <c r="D204" s="65"/>
      <c r="E204" s="67"/>
      <c r="F204" s="65"/>
      <c r="G204" s="65"/>
      <c r="H204" s="65"/>
      <c r="I204" s="67"/>
      <c r="J204" s="65"/>
    </row>
    <row r="205" spans="1:10" ht="11.1" customHeight="1" x14ac:dyDescent="0.2"/>
    <row r="206" spans="1:10" ht="11.1" customHeight="1" x14ac:dyDescent="0.2">
      <c r="A206" s="63"/>
      <c r="C206" s="65"/>
      <c r="D206" s="65"/>
      <c r="E206" s="67"/>
      <c r="F206" s="65"/>
      <c r="G206" s="65"/>
      <c r="H206" s="65"/>
      <c r="I206" s="67"/>
      <c r="J206" s="65"/>
    </row>
    <row r="207" spans="1:10" ht="11.1" customHeight="1" x14ac:dyDescent="0.2">
      <c r="A207" s="63"/>
      <c r="C207" s="65"/>
      <c r="D207" s="66"/>
      <c r="E207" s="67"/>
      <c r="F207" s="65"/>
      <c r="G207" s="65"/>
      <c r="H207" s="65"/>
      <c r="I207" s="67"/>
      <c r="J207" s="65"/>
    </row>
    <row r="208" spans="1:10" ht="11.1" customHeight="1" x14ac:dyDescent="0.2">
      <c r="A208" s="63"/>
      <c r="C208" s="65"/>
      <c r="D208" s="66"/>
      <c r="E208" s="67"/>
      <c r="F208" s="65"/>
      <c r="G208" s="65"/>
      <c r="H208" s="65"/>
      <c r="I208" s="67"/>
      <c r="J208" s="65"/>
    </row>
    <row r="209" spans="1:17" ht="11.1" customHeight="1" x14ac:dyDescent="0.2">
      <c r="A209" s="63"/>
      <c r="C209" s="65"/>
      <c r="D209" s="66"/>
      <c r="E209" s="67"/>
      <c r="F209" s="65"/>
      <c r="G209" s="65"/>
      <c r="H209" s="65"/>
      <c r="I209" s="67"/>
      <c r="J209" s="65"/>
    </row>
    <row r="210" spans="1:17" ht="11.1" customHeight="1" x14ac:dyDescent="0.2">
      <c r="A210" s="63"/>
      <c r="C210" s="65"/>
      <c r="D210" s="65"/>
      <c r="E210" s="67"/>
      <c r="F210" s="65"/>
      <c r="G210" s="65"/>
      <c r="H210" s="65"/>
      <c r="I210" s="67"/>
      <c r="J210" s="65"/>
    </row>
    <row r="211" spans="1:17" ht="11.1" customHeight="1" x14ac:dyDescent="0.2">
      <c r="A211" s="63"/>
      <c r="C211" s="65"/>
      <c r="D211" s="66"/>
      <c r="E211" s="67"/>
      <c r="F211" s="65"/>
      <c r="G211" s="65"/>
      <c r="H211" s="65"/>
      <c r="I211" s="67"/>
      <c r="J211" s="65"/>
    </row>
    <row r="212" spans="1:17" ht="11.1" customHeight="1" x14ac:dyDescent="0.2">
      <c r="A212" s="63"/>
      <c r="C212" s="65"/>
      <c r="D212" s="65"/>
      <c r="E212" s="67"/>
      <c r="F212" s="65"/>
      <c r="G212" s="65"/>
      <c r="H212" s="65"/>
      <c r="I212" s="67"/>
      <c r="J212" s="65"/>
    </row>
    <row r="213" spans="1:17" ht="11.1" customHeight="1" x14ac:dyDescent="0.2">
      <c r="A213" s="63"/>
      <c r="C213" s="65"/>
      <c r="D213" s="65"/>
      <c r="E213" s="67"/>
      <c r="F213" s="65"/>
      <c r="G213" s="65"/>
      <c r="H213" s="65"/>
      <c r="I213" s="67"/>
      <c r="J213" s="65"/>
    </row>
    <row r="214" spans="1:17" ht="11.1" customHeight="1" x14ac:dyDescent="0.2">
      <c r="A214" s="63"/>
      <c r="C214" s="65"/>
      <c r="D214" s="65"/>
      <c r="E214" s="67"/>
      <c r="F214" s="65"/>
      <c r="G214" s="65"/>
      <c r="H214" s="65"/>
      <c r="I214" s="67"/>
      <c r="J214" s="65"/>
    </row>
    <row r="215" spans="1:17" ht="11.1" customHeight="1" x14ac:dyDescent="0.2">
      <c r="A215" s="63"/>
      <c r="C215" s="65"/>
      <c r="D215" s="65"/>
      <c r="E215" s="67"/>
      <c r="F215" s="65"/>
      <c r="G215" s="65"/>
      <c r="H215" s="65"/>
      <c r="I215" s="67"/>
      <c r="J215" s="65"/>
    </row>
    <row r="216" spans="1:17" ht="11.1" customHeight="1" x14ac:dyDescent="0.2"/>
    <row r="217" spans="1:17" ht="11.1" customHeight="1" x14ac:dyDescent="0.2">
      <c r="A217" s="28"/>
      <c r="B217" s="30"/>
      <c r="C217" s="28"/>
      <c r="D217" s="28"/>
      <c r="E217" s="28"/>
      <c r="F217" s="28"/>
      <c r="G217" s="28"/>
      <c r="H217" s="28"/>
      <c r="I217" s="284"/>
      <c r="J217" s="28"/>
      <c r="K217" s="28"/>
      <c r="L217" s="28"/>
      <c r="M217" s="28"/>
      <c r="N217" s="28"/>
      <c r="O217" s="28"/>
      <c r="P217" s="28"/>
      <c r="Q217" s="28"/>
    </row>
    <row r="218" spans="1:17" ht="11.1" customHeight="1" x14ac:dyDescent="0.2">
      <c r="A218" s="28"/>
      <c r="B218" s="30"/>
      <c r="C218" s="28"/>
      <c r="D218" s="28"/>
      <c r="E218" s="28"/>
      <c r="F218" s="28"/>
      <c r="G218" s="28"/>
      <c r="H218" s="28"/>
      <c r="I218" s="284"/>
      <c r="J218" s="28"/>
      <c r="K218" s="28"/>
      <c r="L218" s="28"/>
      <c r="M218" s="28"/>
      <c r="N218" s="28"/>
      <c r="O218" s="28"/>
      <c r="P218" s="28"/>
      <c r="Q218" s="28"/>
    </row>
    <row r="219" spans="1:17" ht="11.1" customHeight="1" x14ac:dyDescent="0.2">
      <c r="A219" s="28"/>
      <c r="B219" s="30"/>
      <c r="C219" s="28"/>
      <c r="D219" s="28"/>
      <c r="E219" s="28"/>
      <c r="F219" s="28"/>
      <c r="G219" s="28"/>
      <c r="H219" s="28"/>
      <c r="I219" s="284"/>
      <c r="J219" s="28"/>
      <c r="K219" s="28"/>
      <c r="L219" s="28"/>
      <c r="M219" s="28"/>
      <c r="N219" s="28"/>
      <c r="O219" s="28"/>
      <c r="P219" s="28"/>
      <c r="Q219" s="28"/>
    </row>
    <row r="220" spans="1:17" ht="11.1" customHeight="1" x14ac:dyDescent="0.2">
      <c r="A220" s="28"/>
      <c r="B220" s="30"/>
      <c r="C220" s="28"/>
      <c r="D220" s="28"/>
      <c r="E220" s="28"/>
      <c r="F220" s="28"/>
      <c r="G220" s="28"/>
      <c r="H220" s="28"/>
      <c r="I220" s="284"/>
      <c r="J220" s="28"/>
      <c r="K220" s="28"/>
      <c r="L220" s="28"/>
      <c r="M220" s="28"/>
      <c r="N220" s="28"/>
      <c r="O220" s="28"/>
      <c r="P220" s="28"/>
      <c r="Q220" s="28"/>
    </row>
    <row r="221" spans="1:17" ht="11.1" customHeight="1" x14ac:dyDescent="0.2">
      <c r="A221" s="28"/>
      <c r="B221" s="30"/>
      <c r="C221" s="28"/>
      <c r="D221" s="28"/>
      <c r="E221" s="28"/>
      <c r="F221" s="28"/>
      <c r="G221" s="28"/>
      <c r="H221" s="28"/>
      <c r="I221" s="284"/>
      <c r="J221" s="28"/>
      <c r="K221" s="28"/>
      <c r="L221" s="28"/>
      <c r="M221" s="28"/>
      <c r="N221" s="28"/>
      <c r="O221" s="28"/>
      <c r="P221" s="28"/>
      <c r="Q221" s="28"/>
    </row>
    <row r="222" spans="1:17" ht="11.1" customHeight="1" x14ac:dyDescent="0.2">
      <c r="A222" s="28"/>
      <c r="B222" s="30"/>
      <c r="C222" s="28"/>
      <c r="D222" s="28"/>
      <c r="E222" s="28"/>
      <c r="F222" s="28"/>
      <c r="G222" s="28"/>
      <c r="H222" s="28"/>
      <c r="I222" s="284"/>
      <c r="J222" s="28"/>
      <c r="K222" s="28"/>
      <c r="L222" s="28"/>
      <c r="M222" s="28"/>
      <c r="N222" s="28"/>
      <c r="O222" s="28"/>
      <c r="P222" s="28"/>
      <c r="Q222" s="28"/>
    </row>
    <row r="223" spans="1:17" ht="11.1" customHeight="1" x14ac:dyDescent="0.2">
      <c r="A223" s="28"/>
      <c r="B223" s="30"/>
      <c r="C223" s="28"/>
      <c r="D223" s="28"/>
      <c r="E223" s="28"/>
      <c r="F223" s="28"/>
      <c r="G223" s="28"/>
      <c r="H223" s="28"/>
      <c r="I223" s="284"/>
      <c r="J223" s="28"/>
      <c r="K223" s="28"/>
      <c r="L223" s="28"/>
      <c r="M223" s="28"/>
      <c r="N223" s="28"/>
      <c r="O223" s="28"/>
      <c r="P223" s="28"/>
      <c r="Q223" s="28"/>
    </row>
    <row r="224" spans="1:17" ht="11.1" customHeight="1" x14ac:dyDescent="0.2">
      <c r="A224" s="28"/>
      <c r="B224" s="30"/>
      <c r="C224" s="28"/>
      <c r="D224" s="28"/>
      <c r="E224" s="28"/>
      <c r="F224" s="28"/>
      <c r="G224" s="28"/>
      <c r="H224" s="28"/>
      <c r="I224" s="284"/>
      <c r="J224" s="28"/>
    </row>
    <row r="225" spans="1:9" ht="11.1" customHeight="1" x14ac:dyDescent="0.2">
      <c r="A225" s="63"/>
      <c r="C225" s="65"/>
      <c r="D225" s="67"/>
      <c r="E225" s="65"/>
      <c r="F225" s="70"/>
      <c r="G225" s="70"/>
      <c r="H225" s="70"/>
      <c r="I225" s="67"/>
    </row>
    <row r="226" spans="1:9" ht="11.1" customHeight="1" x14ac:dyDescent="0.2">
      <c r="A226" s="63"/>
      <c r="C226" s="65"/>
      <c r="D226" s="67"/>
      <c r="E226" s="65"/>
      <c r="F226" s="70"/>
      <c r="G226" s="70"/>
      <c r="H226" s="70"/>
      <c r="I226" s="67"/>
    </row>
    <row r="227" spans="1:9" ht="11.1" customHeight="1" x14ac:dyDescent="0.2">
      <c r="A227" s="63"/>
      <c r="C227" s="65"/>
      <c r="D227" s="67"/>
      <c r="E227" s="65"/>
      <c r="F227" s="70"/>
      <c r="G227" s="70"/>
      <c r="H227" s="70"/>
      <c r="I227" s="67"/>
    </row>
    <row r="228" spans="1:9" ht="11.1" customHeight="1" x14ac:dyDescent="0.2">
      <c r="A228" s="63"/>
      <c r="C228" s="65"/>
      <c r="D228" s="67"/>
      <c r="E228" s="65"/>
      <c r="F228" s="70"/>
      <c r="G228" s="70"/>
      <c r="H228" s="70"/>
      <c r="I228" s="67"/>
    </row>
    <row r="229" spans="1:9" ht="11.1" customHeight="1" x14ac:dyDescent="0.2"/>
    <row r="230" spans="1:9" ht="11.1" customHeight="1" x14ac:dyDescent="0.2">
      <c r="A230" s="63"/>
      <c r="C230" s="49"/>
      <c r="D230" s="49"/>
      <c r="E230" s="49"/>
      <c r="F230" s="49"/>
      <c r="G230" s="49"/>
      <c r="H230" s="49"/>
      <c r="I230" s="285"/>
    </row>
    <row r="231" spans="1:9" ht="11.1" customHeight="1" x14ac:dyDescent="0.2">
      <c r="A231" s="63"/>
      <c r="C231" s="65"/>
      <c r="D231" s="67"/>
      <c r="E231" s="65"/>
      <c r="F231" s="70"/>
      <c r="G231" s="70"/>
      <c r="H231" s="70"/>
      <c r="I231" s="67"/>
    </row>
    <row r="232" spans="1:9" ht="11.1" customHeight="1" x14ac:dyDescent="0.2">
      <c r="A232" s="63"/>
      <c r="C232" s="65"/>
      <c r="D232" s="67"/>
      <c r="E232" s="65"/>
      <c r="F232" s="70"/>
      <c r="G232" s="70"/>
      <c r="H232" s="70"/>
      <c r="I232" s="67"/>
    </row>
    <row r="233" spans="1:9" ht="11.1" customHeight="1" x14ac:dyDescent="0.2">
      <c r="A233" s="63"/>
      <c r="C233" s="65"/>
      <c r="D233" s="67"/>
      <c r="E233" s="65"/>
      <c r="F233" s="70"/>
      <c r="G233" s="70"/>
      <c r="H233" s="70"/>
      <c r="I233" s="67"/>
    </row>
    <row r="234" spans="1:9" ht="11.1" customHeight="1" x14ac:dyDescent="0.2"/>
    <row r="235" spans="1:9" ht="11.1" customHeight="1" x14ac:dyDescent="0.2">
      <c r="A235" s="63"/>
      <c r="C235" s="49"/>
      <c r="D235" s="49"/>
      <c r="E235" s="49"/>
      <c r="F235" s="49"/>
      <c r="G235" s="49"/>
      <c r="H235" s="49"/>
      <c r="I235" s="285"/>
    </row>
    <row r="236" spans="1:9" ht="11.1" customHeight="1" x14ac:dyDescent="0.2">
      <c r="A236" s="63"/>
      <c r="C236" s="65"/>
      <c r="D236" s="67"/>
      <c r="E236" s="65"/>
      <c r="F236" s="70"/>
      <c r="G236" s="70"/>
      <c r="H236" s="70"/>
      <c r="I236" s="67"/>
    </row>
    <row r="237" spans="1:9" ht="11.1" customHeight="1" x14ac:dyDescent="0.2">
      <c r="A237" s="63"/>
      <c r="C237" s="65"/>
      <c r="D237" s="67"/>
      <c r="E237" s="65"/>
      <c r="F237" s="70"/>
      <c r="G237" s="70"/>
      <c r="H237" s="70"/>
      <c r="I237" s="67"/>
    </row>
    <row r="238" spans="1:9" ht="11.1" customHeight="1" x14ac:dyDescent="0.2">
      <c r="A238" s="63"/>
      <c r="C238" s="65"/>
      <c r="D238" s="67"/>
      <c r="E238" s="65"/>
      <c r="F238" s="70"/>
      <c r="G238" s="70"/>
      <c r="H238" s="70"/>
      <c r="I238" s="67"/>
    </row>
    <row r="239" spans="1:9" ht="11.1" customHeight="1" x14ac:dyDescent="0.2">
      <c r="A239" s="63"/>
      <c r="C239" s="65"/>
      <c r="D239" s="67"/>
      <c r="E239" s="65"/>
      <c r="F239" s="70"/>
      <c r="G239" s="70"/>
      <c r="H239" s="70"/>
      <c r="I239" s="67"/>
    </row>
    <row r="240" spans="1:9" ht="11.1" customHeight="1" x14ac:dyDescent="0.2">
      <c r="A240" s="63"/>
      <c r="C240" s="65"/>
      <c r="D240" s="67"/>
      <c r="E240" s="65"/>
      <c r="F240" s="70"/>
      <c r="G240" s="70"/>
      <c r="H240" s="70"/>
      <c r="I240" s="67"/>
    </row>
    <row r="241" spans="1:9" ht="11.1" customHeight="1" x14ac:dyDescent="0.2">
      <c r="A241" s="63"/>
      <c r="C241" s="65"/>
      <c r="D241" s="67"/>
      <c r="E241" s="65"/>
      <c r="F241" s="70"/>
      <c r="G241" s="70"/>
      <c r="H241" s="70"/>
      <c r="I241" s="67"/>
    </row>
    <row r="242" spans="1:9" ht="11.1" customHeight="1" x14ac:dyDescent="0.2">
      <c r="A242" s="63"/>
      <c r="C242" s="65"/>
      <c r="D242" s="67"/>
      <c r="E242" s="65"/>
      <c r="F242" s="70"/>
      <c r="G242" s="70"/>
      <c r="H242" s="70"/>
      <c r="I242" s="67"/>
    </row>
    <row r="243" spans="1:9" ht="11.1" customHeight="1" x14ac:dyDescent="0.2">
      <c r="A243" s="63"/>
      <c r="C243" s="65"/>
      <c r="D243" s="67"/>
      <c r="E243" s="65"/>
      <c r="F243" s="70"/>
      <c r="G243" s="70"/>
      <c r="H243" s="70"/>
      <c r="I243" s="67"/>
    </row>
    <row r="244" spans="1:9" ht="11.1" customHeight="1" x14ac:dyDescent="0.2"/>
    <row r="245" spans="1:9" ht="11.1" customHeight="1" x14ac:dyDescent="0.2">
      <c r="A245" s="63"/>
      <c r="C245" s="49"/>
      <c r="D245" s="49"/>
      <c r="E245" s="49"/>
      <c r="F245" s="49"/>
      <c r="G245" s="49"/>
      <c r="H245" s="49"/>
      <c r="I245" s="285"/>
    </row>
    <row r="246" spans="1:9" ht="11.1" customHeight="1" x14ac:dyDescent="0.2">
      <c r="A246" s="63"/>
      <c r="C246" s="65"/>
      <c r="D246" s="67"/>
      <c r="E246" s="65"/>
      <c r="F246" s="70"/>
      <c r="G246" s="70"/>
      <c r="H246" s="70"/>
      <c r="I246" s="67"/>
    </row>
    <row r="247" spans="1:9" ht="11.1" customHeight="1" x14ac:dyDescent="0.2">
      <c r="A247" s="63"/>
      <c r="C247" s="65"/>
      <c r="D247" s="67"/>
      <c r="E247" s="65"/>
      <c r="F247" s="70"/>
      <c r="G247" s="70"/>
      <c r="H247" s="70"/>
      <c r="I247" s="67"/>
    </row>
    <row r="248" spans="1:9" ht="11.1" customHeight="1" x14ac:dyDescent="0.2">
      <c r="A248" s="63"/>
      <c r="C248" s="65"/>
      <c r="D248" s="67"/>
      <c r="E248" s="65"/>
      <c r="F248" s="70"/>
      <c r="G248" s="70"/>
      <c r="H248" s="70"/>
      <c r="I248" s="67"/>
    </row>
    <row r="249" spans="1:9" ht="11.1" customHeight="1" x14ac:dyDescent="0.2">
      <c r="A249" s="63"/>
      <c r="C249" s="65"/>
      <c r="D249" s="67"/>
      <c r="E249" s="65"/>
      <c r="F249" s="70"/>
      <c r="G249" s="70"/>
      <c r="H249" s="70"/>
      <c r="I249" s="67"/>
    </row>
    <row r="250" spans="1:9" ht="11.1" customHeight="1" x14ac:dyDescent="0.2">
      <c r="A250" s="63"/>
      <c r="C250" s="65"/>
      <c r="D250" s="67"/>
      <c r="E250" s="65"/>
      <c r="F250" s="70"/>
      <c r="G250" s="70"/>
      <c r="H250" s="70"/>
      <c r="I250" s="67"/>
    </row>
    <row r="251" spans="1:9" ht="11.1" customHeight="1" x14ac:dyDescent="0.2">
      <c r="A251" s="63"/>
      <c r="C251" s="65"/>
      <c r="D251" s="67"/>
      <c r="E251" s="65"/>
      <c r="F251" s="70"/>
      <c r="G251" s="70"/>
      <c r="H251" s="70"/>
      <c r="I251" s="67"/>
    </row>
    <row r="252" spans="1:9" ht="11.1" customHeight="1" x14ac:dyDescent="0.2">
      <c r="A252" s="63"/>
      <c r="C252" s="65"/>
      <c r="D252" s="67"/>
      <c r="E252" s="65"/>
      <c r="F252" s="70"/>
      <c r="G252" s="70"/>
      <c r="H252" s="70"/>
      <c r="I252" s="67"/>
    </row>
    <row r="253" spans="1:9" ht="11.1" customHeight="1" x14ac:dyDescent="0.2">
      <c r="A253" s="63"/>
      <c r="C253" s="65"/>
      <c r="D253" s="67"/>
      <c r="E253" s="65"/>
      <c r="F253" s="70"/>
      <c r="G253" s="70"/>
      <c r="H253" s="70"/>
      <c r="I253" s="67"/>
    </row>
    <row r="254" spans="1:9" ht="11.1" customHeight="1" x14ac:dyDescent="0.2"/>
    <row r="255" spans="1:9" ht="11.1" customHeight="1" x14ac:dyDescent="0.2">
      <c r="A255" s="63"/>
      <c r="C255" s="49"/>
      <c r="D255" s="49"/>
      <c r="E255" s="49"/>
      <c r="F255" s="49"/>
      <c r="G255" s="49"/>
      <c r="H255" s="49"/>
      <c r="I255" s="285"/>
    </row>
    <row r="256" spans="1:9" ht="11.1" customHeight="1" x14ac:dyDescent="0.2">
      <c r="A256" s="63"/>
      <c r="C256" s="65"/>
      <c r="D256" s="67"/>
      <c r="E256" s="65"/>
      <c r="F256" s="70"/>
      <c r="G256" s="70"/>
      <c r="H256" s="70"/>
      <c r="I256" s="67"/>
    </row>
    <row r="257" spans="1:9" ht="11.1" customHeight="1" x14ac:dyDescent="0.2">
      <c r="A257" s="63"/>
      <c r="C257" s="65"/>
      <c r="D257" s="67"/>
      <c r="E257" s="65"/>
      <c r="F257" s="70"/>
      <c r="G257" s="70"/>
      <c r="H257" s="70"/>
      <c r="I257" s="67"/>
    </row>
    <row r="258" spans="1:9" ht="11.1" customHeight="1" x14ac:dyDescent="0.2">
      <c r="A258" s="63"/>
      <c r="C258" s="65"/>
      <c r="D258" s="67"/>
      <c r="E258" s="65"/>
      <c r="F258" s="70"/>
      <c r="G258" s="70"/>
      <c r="H258" s="70"/>
      <c r="I258" s="67"/>
    </row>
    <row r="259" spans="1:9" ht="11.1" customHeight="1" x14ac:dyDescent="0.2">
      <c r="A259" s="63"/>
      <c r="C259" s="65"/>
      <c r="D259" s="67"/>
      <c r="E259" s="65"/>
      <c r="F259" s="70"/>
      <c r="G259" s="70"/>
      <c r="H259" s="70"/>
      <c r="I259" s="67"/>
    </row>
    <row r="260" spans="1:9" ht="11.1" customHeight="1" x14ac:dyDescent="0.2">
      <c r="A260" s="63"/>
      <c r="C260" s="65"/>
      <c r="D260" s="67"/>
      <c r="E260" s="65"/>
      <c r="F260" s="70"/>
      <c r="G260" s="70"/>
      <c r="H260" s="70"/>
      <c r="I260" s="67"/>
    </row>
    <row r="261" spans="1:9" ht="11.1" customHeight="1" x14ac:dyDescent="0.2">
      <c r="A261" s="63"/>
      <c r="C261" s="65"/>
      <c r="D261" s="67"/>
      <c r="E261" s="65"/>
      <c r="F261" s="70"/>
      <c r="G261" s="70"/>
      <c r="H261" s="70"/>
      <c r="I261" s="67"/>
    </row>
    <row r="262" spans="1:9" ht="11.1" customHeight="1" x14ac:dyDescent="0.2">
      <c r="A262" s="63"/>
      <c r="C262" s="65"/>
      <c r="D262" s="67"/>
      <c r="E262" s="65"/>
      <c r="F262" s="70"/>
      <c r="G262" s="70"/>
      <c r="H262" s="70"/>
      <c r="I262" s="67"/>
    </row>
    <row r="263" spans="1:9" ht="11.1" customHeight="1" x14ac:dyDescent="0.2">
      <c r="A263" s="63"/>
      <c r="C263" s="65"/>
      <c r="D263" s="67"/>
      <c r="E263" s="65"/>
      <c r="F263" s="70"/>
      <c r="G263" s="70"/>
      <c r="H263" s="70"/>
      <c r="I263" s="67"/>
    </row>
    <row r="264" spans="1:9" ht="11.1" customHeight="1" x14ac:dyDescent="0.2">
      <c r="A264" s="63"/>
      <c r="C264" s="65"/>
      <c r="D264" s="67"/>
      <c r="E264" s="65"/>
      <c r="F264" s="70"/>
      <c r="G264" s="70"/>
      <c r="H264" s="70"/>
      <c r="I264" s="67"/>
    </row>
    <row r="265" spans="1:9" ht="11.1" customHeight="1" x14ac:dyDescent="0.2">
      <c r="A265" s="63"/>
      <c r="C265" s="65"/>
      <c r="D265" s="67"/>
      <c r="E265" s="65"/>
      <c r="F265" s="70"/>
      <c r="G265" s="70"/>
      <c r="H265" s="70"/>
      <c r="I265" s="67"/>
    </row>
    <row r="266" spans="1:9" ht="11.1" customHeight="1" x14ac:dyDescent="0.2"/>
    <row r="267" spans="1:9" ht="11.1" customHeight="1" x14ac:dyDescent="0.2">
      <c r="A267" s="63"/>
      <c r="C267" s="49"/>
      <c r="D267" s="49"/>
      <c r="E267" s="49"/>
      <c r="F267" s="49"/>
      <c r="G267" s="49"/>
      <c r="H267" s="49"/>
      <c r="I267" s="285"/>
    </row>
    <row r="268" spans="1:9" ht="11.1" customHeight="1" x14ac:dyDescent="0.2">
      <c r="A268" s="63"/>
      <c r="C268" s="65"/>
      <c r="D268" s="67"/>
      <c r="E268" s="65"/>
      <c r="F268" s="70"/>
      <c r="G268" s="70"/>
      <c r="H268" s="70"/>
      <c r="I268" s="67"/>
    </row>
    <row r="269" spans="1:9" ht="11.1" customHeight="1" x14ac:dyDescent="0.2">
      <c r="A269" s="63"/>
      <c r="C269" s="65"/>
      <c r="D269" s="67"/>
      <c r="E269" s="65"/>
      <c r="F269" s="70"/>
      <c r="G269" s="70"/>
      <c r="H269" s="70"/>
      <c r="I269" s="67"/>
    </row>
    <row r="270" spans="1:9" ht="11.1" customHeight="1" x14ac:dyDescent="0.2">
      <c r="A270" s="63"/>
      <c r="C270" s="65"/>
      <c r="D270" s="67"/>
      <c r="E270" s="65"/>
      <c r="F270" s="70"/>
      <c r="G270" s="70"/>
      <c r="H270" s="70"/>
      <c r="I270" s="67"/>
    </row>
    <row r="271" spans="1:9" ht="11.1" customHeight="1" x14ac:dyDescent="0.2">
      <c r="A271" s="63"/>
      <c r="C271" s="65"/>
      <c r="D271" s="67"/>
      <c r="E271" s="65"/>
      <c r="F271" s="70"/>
      <c r="G271" s="70"/>
      <c r="H271" s="70"/>
      <c r="I271" s="67"/>
    </row>
    <row r="272" spans="1:9" ht="11.1" customHeight="1" x14ac:dyDescent="0.2">
      <c r="A272" s="63"/>
      <c r="C272" s="65"/>
      <c r="D272" s="67"/>
      <c r="E272" s="65"/>
      <c r="F272" s="70"/>
      <c r="G272" s="70"/>
      <c r="H272" s="70"/>
      <c r="I272" s="67"/>
    </row>
    <row r="273" spans="1:9" ht="11.1" customHeight="1" x14ac:dyDescent="0.2">
      <c r="A273" s="63"/>
      <c r="C273" s="65"/>
      <c r="D273" s="67"/>
      <c r="E273" s="65"/>
      <c r="F273" s="70"/>
      <c r="G273" s="70"/>
      <c r="H273" s="70"/>
      <c r="I273" s="67"/>
    </row>
    <row r="274" spans="1:9" ht="11.1" customHeight="1" x14ac:dyDescent="0.2">
      <c r="A274" s="63"/>
      <c r="C274" s="65"/>
      <c r="D274" s="67"/>
      <c r="E274" s="65"/>
      <c r="F274" s="70"/>
      <c r="G274" s="70"/>
      <c r="H274" s="70"/>
      <c r="I274" s="67"/>
    </row>
    <row r="275" spans="1:9" ht="11.1" customHeight="1" x14ac:dyDescent="0.2">
      <c r="A275" s="63"/>
      <c r="C275" s="65"/>
      <c r="D275" s="67"/>
      <c r="E275" s="65"/>
      <c r="F275" s="70"/>
      <c r="G275" s="70"/>
      <c r="H275" s="70"/>
      <c r="I275" s="67"/>
    </row>
    <row r="276" spans="1:9" ht="11.1" customHeight="1" x14ac:dyDescent="0.2">
      <c r="A276" s="63"/>
      <c r="C276" s="65"/>
      <c r="D276" s="67"/>
      <c r="E276" s="65"/>
      <c r="F276" s="70"/>
      <c r="G276" s="70"/>
      <c r="H276" s="70"/>
      <c r="I276" s="67"/>
    </row>
    <row r="277" spans="1:9" ht="11.1" customHeight="1" x14ac:dyDescent="0.2">
      <c r="A277" s="63"/>
      <c r="C277" s="65"/>
      <c r="D277" s="67"/>
      <c r="E277" s="65"/>
      <c r="F277" s="70"/>
      <c r="G277" s="70"/>
      <c r="H277" s="70"/>
      <c r="I277" s="67"/>
    </row>
    <row r="278" spans="1:9" ht="11.1" customHeight="1" x14ac:dyDescent="0.2"/>
    <row r="279" spans="1:9" ht="11.1" customHeight="1" x14ac:dyDescent="0.2">
      <c r="A279" s="63"/>
      <c r="C279" s="49"/>
      <c r="D279" s="49"/>
      <c r="E279" s="49"/>
      <c r="F279" s="49"/>
      <c r="G279" s="49"/>
      <c r="H279" s="49"/>
      <c r="I279" s="285"/>
    </row>
    <row r="280" spans="1:9" ht="11.1" customHeight="1" x14ac:dyDescent="0.2">
      <c r="A280" s="63"/>
      <c r="C280" s="65"/>
      <c r="D280" s="67"/>
      <c r="E280" s="65"/>
      <c r="F280" s="70"/>
      <c r="G280" s="70"/>
      <c r="H280" s="70"/>
      <c r="I280" s="67"/>
    </row>
    <row r="281" spans="1:9" ht="11.1" customHeight="1" x14ac:dyDescent="0.2">
      <c r="A281" s="63"/>
      <c r="C281" s="65"/>
      <c r="D281" s="67"/>
      <c r="E281" s="65"/>
      <c r="F281" s="70"/>
      <c r="G281" s="70"/>
      <c r="H281" s="70"/>
      <c r="I281" s="67"/>
    </row>
    <row r="282" spans="1:9" ht="11.1" customHeight="1" x14ac:dyDescent="0.2">
      <c r="A282" s="63"/>
      <c r="C282" s="65"/>
      <c r="D282" s="67"/>
      <c r="E282" s="65"/>
      <c r="F282" s="70"/>
      <c r="G282" s="70"/>
      <c r="H282" s="70"/>
      <c r="I282" s="67"/>
    </row>
    <row r="283" spans="1:9" ht="11.1" customHeight="1" x14ac:dyDescent="0.2">
      <c r="A283" s="63"/>
      <c r="C283" s="65"/>
      <c r="D283" s="67"/>
      <c r="E283" s="65"/>
      <c r="F283" s="70"/>
      <c r="G283" s="70"/>
      <c r="H283" s="70"/>
      <c r="I283" s="67"/>
    </row>
    <row r="284" spans="1:9" ht="11.1" customHeight="1" x14ac:dyDescent="0.2">
      <c r="A284" s="63"/>
      <c r="C284" s="65"/>
      <c r="D284" s="67"/>
      <c r="E284" s="65"/>
      <c r="F284" s="70"/>
      <c r="G284" s="70"/>
      <c r="H284" s="70"/>
      <c r="I284" s="67"/>
    </row>
    <row r="285" spans="1:9" ht="11.1" customHeight="1" x14ac:dyDescent="0.2">
      <c r="A285" s="63"/>
      <c r="C285" s="65"/>
      <c r="D285" s="67"/>
      <c r="E285" s="65"/>
      <c r="F285" s="70"/>
      <c r="G285" s="70"/>
      <c r="H285" s="70"/>
      <c r="I285" s="67"/>
    </row>
    <row r="286" spans="1:9" ht="11.1" customHeight="1" x14ac:dyDescent="0.2">
      <c r="A286" s="63"/>
      <c r="C286" s="65"/>
      <c r="D286" s="67"/>
      <c r="E286" s="65"/>
      <c r="F286" s="70"/>
      <c r="G286" s="70"/>
      <c r="H286" s="70"/>
      <c r="I286" s="67"/>
    </row>
    <row r="287" spans="1:9" ht="11.1" customHeight="1" x14ac:dyDescent="0.2">
      <c r="A287" s="63"/>
      <c r="C287" s="65"/>
      <c r="D287" s="67"/>
      <c r="E287" s="65"/>
      <c r="F287" s="70"/>
      <c r="G287" s="70"/>
      <c r="H287" s="70"/>
      <c r="I287" s="67"/>
    </row>
    <row r="288" spans="1:9" ht="11.1" customHeight="1" x14ac:dyDescent="0.2">
      <c r="A288" s="63"/>
      <c r="C288" s="65"/>
      <c r="D288" s="67"/>
      <c r="E288" s="65"/>
      <c r="F288" s="70"/>
      <c r="G288" s="70"/>
      <c r="H288" s="70"/>
      <c r="I288" s="67"/>
    </row>
    <row r="289" spans="1:9" ht="11.1" customHeight="1" x14ac:dyDescent="0.2">
      <c r="A289" s="63"/>
      <c r="C289" s="65"/>
      <c r="D289" s="67"/>
      <c r="E289" s="65"/>
      <c r="F289" s="70"/>
      <c r="G289" s="70"/>
      <c r="H289" s="70"/>
      <c r="I289" s="67"/>
    </row>
    <row r="290" spans="1:9" ht="11.1" customHeight="1" x14ac:dyDescent="0.2"/>
    <row r="291" spans="1:9" ht="11.1" customHeight="1" x14ac:dyDescent="0.2">
      <c r="A291" s="63"/>
      <c r="C291" s="49"/>
      <c r="D291" s="49"/>
      <c r="E291" s="49"/>
      <c r="F291" s="49"/>
      <c r="G291" s="49"/>
      <c r="H291" s="49"/>
      <c r="I291" s="285"/>
    </row>
    <row r="292" spans="1:9" ht="11.1" customHeight="1" x14ac:dyDescent="0.2">
      <c r="A292" s="63"/>
      <c r="C292" s="65"/>
      <c r="D292" s="67"/>
      <c r="E292" s="65"/>
      <c r="F292" s="70"/>
      <c r="G292" s="70"/>
      <c r="H292" s="70"/>
      <c r="I292" s="67"/>
    </row>
    <row r="293" spans="1:9" ht="11.1" customHeight="1" x14ac:dyDescent="0.2">
      <c r="A293" s="63"/>
      <c r="C293" s="65"/>
      <c r="D293" s="67"/>
      <c r="E293" s="65"/>
      <c r="F293" s="70"/>
      <c r="G293" s="70"/>
      <c r="H293" s="70"/>
      <c r="I293" s="67"/>
    </row>
    <row r="294" spans="1:9" ht="11.1" customHeight="1" x14ac:dyDescent="0.2">
      <c r="A294" s="63"/>
      <c r="C294" s="65"/>
      <c r="D294" s="67"/>
      <c r="E294" s="65"/>
      <c r="F294" s="70"/>
      <c r="G294" s="70"/>
      <c r="H294" s="70"/>
      <c r="I294" s="67"/>
    </row>
    <row r="295" spans="1:9" ht="11.1" customHeight="1" x14ac:dyDescent="0.2">
      <c r="A295" s="63"/>
      <c r="C295" s="65"/>
      <c r="D295" s="67"/>
      <c r="E295" s="65"/>
      <c r="F295" s="70"/>
      <c r="G295" s="70"/>
      <c r="H295" s="70"/>
      <c r="I295" s="67"/>
    </row>
    <row r="296" spans="1:9" ht="11.1" customHeight="1" x14ac:dyDescent="0.2">
      <c r="A296" s="63"/>
      <c r="C296" s="65"/>
      <c r="D296" s="67"/>
      <c r="E296" s="65"/>
      <c r="F296" s="70"/>
      <c r="G296" s="70"/>
      <c r="H296" s="70"/>
      <c r="I296" s="67"/>
    </row>
    <row r="297" spans="1:9" ht="11.1" customHeight="1" x14ac:dyDescent="0.2">
      <c r="A297" s="63"/>
      <c r="C297" s="65"/>
      <c r="D297" s="67"/>
      <c r="E297" s="65"/>
      <c r="F297" s="70"/>
      <c r="G297" s="70"/>
      <c r="H297" s="70"/>
      <c r="I297" s="67"/>
    </row>
    <row r="298" spans="1:9" ht="11.1" customHeight="1" x14ac:dyDescent="0.2">
      <c r="A298" s="63"/>
      <c r="C298" s="65"/>
      <c r="D298" s="67"/>
      <c r="E298" s="65"/>
      <c r="F298" s="70"/>
      <c r="G298" s="70"/>
      <c r="H298" s="70"/>
      <c r="I298" s="67"/>
    </row>
    <row r="299" spans="1:9" ht="11.1" customHeight="1" x14ac:dyDescent="0.2">
      <c r="A299" s="63"/>
      <c r="C299" s="65"/>
      <c r="D299" s="67"/>
      <c r="E299" s="65"/>
      <c r="F299" s="70"/>
      <c r="G299" s="70"/>
      <c r="H299" s="70"/>
      <c r="I299" s="67"/>
    </row>
    <row r="300" spans="1:9" ht="11.1" customHeight="1" x14ac:dyDescent="0.2">
      <c r="A300" s="63"/>
      <c r="C300" s="65"/>
      <c r="D300" s="67"/>
      <c r="E300" s="65"/>
      <c r="F300" s="70"/>
      <c r="G300" s="70"/>
      <c r="H300" s="70"/>
      <c r="I300" s="67"/>
    </row>
    <row r="301" spans="1:9" ht="11.1" customHeight="1" x14ac:dyDescent="0.2">
      <c r="A301" s="63"/>
      <c r="C301" s="65"/>
      <c r="D301" s="67"/>
      <c r="E301" s="65"/>
      <c r="F301" s="70"/>
      <c r="G301" s="70"/>
      <c r="H301" s="70"/>
      <c r="I301" s="67"/>
    </row>
    <row r="302" spans="1:9" ht="11.1" customHeight="1" x14ac:dyDescent="0.2"/>
    <row r="303" spans="1:9" ht="11.1" customHeight="1" x14ac:dyDescent="0.2"/>
    <row r="304" spans="1:9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  <row r="366" ht="11.1" customHeight="1" x14ac:dyDescent="0.2"/>
    <row r="367" ht="11.1" customHeight="1" x14ac:dyDescent="0.2"/>
    <row r="368" ht="11.1" customHeight="1" x14ac:dyDescent="0.2"/>
    <row r="369" ht="11.1" customHeight="1" x14ac:dyDescent="0.2"/>
    <row r="370" ht="11.1" customHeight="1" x14ac:dyDescent="0.2"/>
    <row r="371" ht="11.1" customHeight="1" x14ac:dyDescent="0.2"/>
    <row r="372" ht="11.1" customHeight="1" x14ac:dyDescent="0.2"/>
    <row r="373" ht="11.1" customHeight="1" x14ac:dyDescent="0.2"/>
    <row r="374" ht="11.1" customHeight="1" x14ac:dyDescent="0.2"/>
    <row r="375" ht="11.1" customHeight="1" x14ac:dyDescent="0.2"/>
    <row r="376" ht="11.1" customHeight="1" x14ac:dyDescent="0.2"/>
    <row r="377" ht="11.1" customHeight="1" x14ac:dyDescent="0.2"/>
    <row r="378" ht="11.1" customHeight="1" x14ac:dyDescent="0.2"/>
    <row r="379" ht="11.1" customHeight="1" x14ac:dyDescent="0.2"/>
    <row r="380" ht="11.1" customHeight="1" x14ac:dyDescent="0.2"/>
    <row r="381" ht="11.1" customHeight="1" x14ac:dyDescent="0.2"/>
    <row r="382" ht="11.1" customHeight="1" x14ac:dyDescent="0.2"/>
    <row r="383" ht="11.1" customHeight="1" x14ac:dyDescent="0.2"/>
    <row r="384" ht="11.1" customHeight="1" x14ac:dyDescent="0.2"/>
    <row r="385" ht="11.1" customHeight="1" x14ac:dyDescent="0.2"/>
    <row r="386" ht="11.1" customHeight="1" x14ac:dyDescent="0.2"/>
    <row r="387" ht="11.1" customHeight="1" x14ac:dyDescent="0.2"/>
    <row r="388" ht="11.1" customHeight="1" x14ac:dyDescent="0.2"/>
    <row r="389" ht="11.1" customHeight="1" x14ac:dyDescent="0.2"/>
    <row r="390" ht="11.1" customHeight="1" x14ac:dyDescent="0.2"/>
    <row r="391" ht="11.1" customHeight="1" x14ac:dyDescent="0.2"/>
    <row r="392" ht="11.1" customHeight="1" x14ac:dyDescent="0.2"/>
    <row r="393" ht="11.1" customHeight="1" x14ac:dyDescent="0.2"/>
    <row r="394" ht="11.1" customHeight="1" x14ac:dyDescent="0.2"/>
    <row r="395" ht="11.1" customHeight="1" x14ac:dyDescent="0.2"/>
    <row r="396" ht="11.1" customHeight="1" x14ac:dyDescent="0.2"/>
    <row r="397" ht="11.1" customHeight="1" x14ac:dyDescent="0.2"/>
    <row r="398" ht="11.1" customHeight="1" x14ac:dyDescent="0.2"/>
    <row r="399" ht="11.1" customHeight="1" x14ac:dyDescent="0.2"/>
    <row r="400" ht="11.1" customHeight="1" x14ac:dyDescent="0.2"/>
    <row r="401" ht="11.1" customHeight="1" x14ac:dyDescent="0.2"/>
    <row r="402" ht="11.1" customHeight="1" x14ac:dyDescent="0.2"/>
    <row r="403" ht="11.1" customHeight="1" x14ac:dyDescent="0.2"/>
    <row r="404" ht="11.1" customHeight="1" x14ac:dyDescent="0.2"/>
    <row r="405" ht="11.1" customHeight="1" x14ac:dyDescent="0.2"/>
    <row r="406" ht="11.1" customHeight="1" x14ac:dyDescent="0.2"/>
    <row r="407" ht="11.1" customHeight="1" x14ac:dyDescent="0.2"/>
    <row r="408" ht="11.1" customHeight="1" x14ac:dyDescent="0.2"/>
    <row r="409" ht="11.1" customHeight="1" x14ac:dyDescent="0.2"/>
    <row r="410" ht="11.1" customHeight="1" x14ac:dyDescent="0.2"/>
    <row r="411" ht="11.1" customHeight="1" x14ac:dyDescent="0.2"/>
    <row r="412" ht="11.1" customHeight="1" x14ac:dyDescent="0.2"/>
    <row r="413" ht="11.1" customHeight="1" x14ac:dyDescent="0.2"/>
    <row r="414" ht="11.1" customHeight="1" x14ac:dyDescent="0.2"/>
    <row r="415" ht="11.1" customHeight="1" x14ac:dyDescent="0.2"/>
  </sheetData>
  <mergeCells count="15">
    <mergeCell ref="K3:K4"/>
    <mergeCell ref="L3:L4"/>
    <mergeCell ref="M3:M4"/>
    <mergeCell ref="Q3:Q4"/>
    <mergeCell ref="R3:R4"/>
    <mergeCell ref="A1:J1"/>
    <mergeCell ref="A2:A4"/>
    <mergeCell ref="B2:B4"/>
    <mergeCell ref="C2:C3"/>
    <mergeCell ref="D2:D3"/>
    <mergeCell ref="E2:E3"/>
    <mergeCell ref="F2:H2"/>
    <mergeCell ref="I2:I3"/>
    <mergeCell ref="J2:J3"/>
    <mergeCell ref="F4:H4"/>
  </mergeCells>
  <phoneticPr fontId="2" type="noConversion"/>
  <conditionalFormatting sqref="K49 K25:K26 K15:R15">
    <cfRule type="cellIs" dxfId="11" priority="41" stopIfTrue="1" operator="lessThanOrEqual">
      <formula>-0.1</formula>
    </cfRule>
    <cfRule type="cellIs" dxfId="10" priority="42" stopIfTrue="1" operator="greaterThanOrEqual">
      <formula>0.1</formula>
    </cfRule>
  </conditionalFormatting>
  <conditionalFormatting sqref="K24">
    <cfRule type="cellIs" dxfId="9" priority="13" stopIfTrue="1" operator="lessThanOrEqual">
      <formula>-0.1</formula>
    </cfRule>
    <cfRule type="cellIs" dxfId="8" priority="14" stopIfTrue="1" operator="greaterThanOrEqual">
      <formula>0.1</formula>
    </cfRule>
  </conditionalFormatting>
  <conditionalFormatting sqref="K35">
    <cfRule type="cellIs" dxfId="7" priority="11" stopIfTrue="1" operator="lessThanOrEqual">
      <formula>-0.1</formula>
    </cfRule>
    <cfRule type="cellIs" dxfId="6" priority="12" stopIfTrue="1" operator="greaterThanOrEqual">
      <formula>0.1</formula>
    </cfRule>
  </conditionalFormatting>
  <conditionalFormatting sqref="K48">
    <cfRule type="cellIs" dxfId="5" priority="5" stopIfTrue="1" operator="lessThanOrEqual">
      <formula>-0.1</formula>
    </cfRule>
    <cfRule type="cellIs" dxfId="4" priority="6" stopIfTrue="1" operator="greaterThanOrEqual">
      <formula>0.1</formula>
    </cfRule>
  </conditionalFormatting>
  <conditionalFormatting sqref="K38:R38">
    <cfRule type="cellIs" dxfId="3" priority="3" stopIfTrue="1" operator="lessThanOrEqual">
      <formula>-0.1</formula>
    </cfRule>
    <cfRule type="cellIs" dxfId="2" priority="4" stopIfTrue="1" operator="greaterThanOrEqual">
      <formula>0.1</formula>
    </cfRule>
  </conditionalFormatting>
  <conditionalFormatting sqref="K51:R51">
    <cfRule type="cellIs" dxfId="1" priority="1" stopIfTrue="1" operator="lessThanOrEqual">
      <formula>-0.1</formula>
    </cfRule>
    <cfRule type="cellIs" dxfId="0" priority="2" stopIfTrue="1" operator="greaterThanOrEqual">
      <formula>0.1</formula>
    </cfRule>
  </conditionalFormatting>
  <printOptions horizontalCentered="1"/>
  <pageMargins left="0.5" right="0.5" top="0.5" bottom="0.5" header="0.5" footer="0.5"/>
  <pageSetup firstPageNumber="6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15</vt:i4>
      </vt:variant>
    </vt:vector>
  </HeadingPairs>
  <TitlesOfParts>
    <vt:vector size="24" baseType="lpstr">
      <vt:lpstr>5-fn-tb-01</vt:lpstr>
      <vt:lpstr>5-fn-tb-02</vt:lpstr>
      <vt:lpstr>5-fn-tb-03</vt:lpstr>
      <vt:lpstr>5-fn-tb-04</vt:lpstr>
      <vt:lpstr>5-fn-tb-05</vt:lpstr>
      <vt:lpstr>5-fn-tb-06</vt:lpstr>
      <vt:lpstr>5-fn-tb-07</vt:lpstr>
      <vt:lpstr>5-fn-tb-8</vt:lpstr>
      <vt:lpstr>5-fn-tb-9</vt:lpstr>
      <vt:lpstr>'5-fn-tb-01'!Print_Area</vt:lpstr>
      <vt:lpstr>'5-fn-tb-02'!Print_Area</vt:lpstr>
      <vt:lpstr>'5-fn-tb-03'!Print_Area</vt:lpstr>
      <vt:lpstr>'5-fn-tb-04'!Print_Area</vt:lpstr>
      <vt:lpstr>'5-fn-tb-05'!Print_Area</vt:lpstr>
      <vt:lpstr>'5-fn-tb-06'!Print_Area</vt:lpstr>
      <vt:lpstr>'5-fn-tb-07'!Print_Area</vt:lpstr>
      <vt:lpstr>'5-fn-tb-8'!Print_Area</vt:lpstr>
      <vt:lpstr>'5-fn-tb-9'!Print_Area</vt:lpstr>
      <vt:lpstr>'5-fn-tb-01'!Print_Titles</vt:lpstr>
      <vt:lpstr>'5-fn-tb-03'!Print_Titles</vt:lpstr>
      <vt:lpstr>'5-fn-tb-04'!Print_Titles</vt:lpstr>
      <vt:lpstr>'5-fn-tb-05'!Print_Titles</vt:lpstr>
      <vt:lpstr>'5-fn-tb-06'!Print_Titles</vt:lpstr>
      <vt:lpstr>'5-fn-tb-8'!Print_Titles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Younsu</dc:creator>
  <cp:lastModifiedBy>Goss, Sofia@CDFA</cp:lastModifiedBy>
  <cp:lastPrinted>2021-12-13T23:49:14Z</cp:lastPrinted>
  <dcterms:created xsi:type="dcterms:W3CDTF">2008-07-10T18:10:47Z</dcterms:created>
  <dcterms:modified xsi:type="dcterms:W3CDTF">2022-02-02T22:25:36Z</dcterms:modified>
</cp:coreProperties>
</file>